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egburkina-my.sharepoint.com/personal/souattara_cameg_bf/Documents/Bureau/PPM 2026/travaux elaboration projet PPM2026/"/>
    </mc:Choice>
  </mc:AlternateContent>
  <xr:revisionPtr revIDLastSave="120" documentId="8_{0D5BA41A-3A33-4D30-BBD9-01470279B30F}" xr6:coauthVersionLast="47" xr6:coauthVersionMax="47" xr10:uidLastSave="{CCBAB3E2-FA61-4CB1-82CC-C6DB8F8F4AF8}"/>
  <bookViews>
    <workbookView xWindow="-110" yWindow="-110" windowWidth="19420" windowHeight="10300" xr2:uid="{00000000-000D-0000-FFFF-FFFF00000000}"/>
  </bookViews>
  <sheets>
    <sheet name="PPM DECEMBRE 2026 (2)" sheetId="31" r:id="rId1"/>
    <sheet name="INDIC BNE GOUVERNACE NBR (2)" sheetId="28" r:id="rId2"/>
    <sheet name="INDIC BNE GOUVERN MONTANT (2)" sheetId="2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MM2000">'[1]Commande 1ère Tranche'!#REF!</definedName>
    <definedName name="__r">'[2]Bon de Cde'!#REF!</definedName>
    <definedName name="_CMM2000">'[3]Commande 1ère Tranche'!#REF!</definedName>
    <definedName name="_xlnm._FilterDatabase" localSheetId="0" hidden="1">'PPM DECEMBRE 2026 (2)'!$B$7:$Y$86</definedName>
    <definedName name="_r">'[4]Bon de Cde'!#REF!</definedName>
    <definedName name="aas">'[4]Bon de Cde'!#REF!</definedName>
    <definedName name="ASS">'[5]Projet Budget 2004'!#REF!</definedName>
    <definedName name="Ass_Frêt">'[6]Projet Budget 2004'!#REF!</definedName>
    <definedName name="CAMEG_au_081001">#REF!</definedName>
    <definedName name="CAMEG_Avec_Encours">'[7]Etat des Quantités'!#REF!</definedName>
    <definedName name="CAMEG311201_plus_Encours">#REF!</definedName>
    <definedName name="Cif">'[6]Projet Budget 2004'!#REF!</definedName>
    <definedName name="CIF_Total">#REF!</definedName>
    <definedName name="cmm">'[1]Commande 1ère Tranche'!#REF!</definedName>
    <definedName name="CMM_1erTri">'[7]Etat des Quantités'!#REF!</definedName>
    <definedName name="CMM_2000">#REF!</definedName>
    <definedName name="CMM1erSem2001">#REF!</definedName>
    <definedName name="CMM2000_Réa">'[1]Commande 1ère Tranche'!#REF!</definedName>
    <definedName name="CMM2002_Prév">#REF!</definedName>
    <definedName name="CmmCr03_03">'[6]Projet Budget 2004'!#REF!</definedName>
    <definedName name="CmmJanSept03">'[6]Projet Budget 2004'!#REF!</definedName>
    <definedName name="CmmPrev03">'[8]Projet Budget DAL 2003'!#REF!</definedName>
    <definedName name="CmmPrévu2004">'[6]Projet Budget 2004'!#REF!</definedName>
    <definedName name="CompltCr03">'[7]Etat des Quantités'!#REF!</definedName>
    <definedName name="Conso_Oct_Nv_Dec">#REF!</definedName>
    <definedName name="CoutUnitaireAchat">'[6]Projet Budget 2004'!#REF!</definedName>
    <definedName name="Couv_Avec_Encours">'[7]Etat des Quantités'!#REF!</definedName>
    <definedName name="Couv_Cde_Cplt">'[7]Etat des Quantités'!#REF!</definedName>
    <definedName name="Couv_Sans_Encours">'[7]Etat des Quantités'!#REF!</definedName>
    <definedName name="Couv_Stock_Encours">'[1]Commande 1ère Tranche'!#REF!</definedName>
    <definedName name="Couv_Terme">#REF!</definedName>
    <definedName name="Cplt_à_Cder">#REF!</definedName>
    <definedName name="Cplt16mois">'[7]Etat des Quantités'!#REF!</definedName>
    <definedName name="CpltAcder2004">'[6]Projet Budget 2004'!#REF!</definedName>
    <definedName name="CT">#REF!</definedName>
    <definedName name="DAL">'[1]Commande 1ère Tranche'!#REF!</definedName>
    <definedName name="de">'[4]Bon de Cde'!#REF!</definedName>
    <definedName name="Deuxième_Tranche">#REF!</definedName>
    <definedName name="Douane">#REF!</definedName>
    <definedName name="Douane_Total">#REF!</definedName>
    <definedName name="DPI">#REF!</definedName>
    <definedName name="DPI_Total">#REF!</definedName>
    <definedName name="DRB">#REF!</definedName>
    <definedName name="DRF">#REF!</definedName>
    <definedName name="DRO">#REF!</definedName>
    <definedName name="DVM">'[1]Commande 1ère Tranche'!#REF!</definedName>
    <definedName name="Enc2ème3èmeTrch">'[7]Etat des Quantités'!#REF!</definedName>
    <definedName name="Encours">'[1]Commande 1ère Tranche'!#REF!</definedName>
    <definedName name="Encours_au_081001">#REF!</definedName>
    <definedName name="Encours_Cde_Cplét.">#REF!</definedName>
    <definedName name="Encours_Cr_Précédent">'[7]Etat des Quantités'!#REF!</definedName>
    <definedName name="Encours_CR03">'[7]Etat des Quantités'!#REF!</definedName>
    <definedName name="Encours_CR0399">#REF!</definedName>
    <definedName name="Encours_CR0499">#REF!</definedName>
    <definedName name="Encours1erTrche">'[7]Etat des Quantités'!#REF!</definedName>
    <definedName name="Encours2èmeTrche">'[7]Etat des Quantités'!#REF!</definedName>
    <definedName name="er">'[4]Bon de Cde'!#REF!</definedName>
    <definedName name="ERR">'[9]Etat des Quantités'!#REF!</definedName>
    <definedName name="Fob">'[6]Projet Budget 2004'!#REF!</definedName>
    <definedName name="FOB_Total">#REF!</definedName>
    <definedName name="Forme">#REF!</definedName>
    <definedName name="Fournisseur">#REF!</definedName>
    <definedName name="FraisAppro">'[6]Projet Budget 2004'!#REF!</definedName>
    <definedName name="Frêt_Total">#REF!</definedName>
    <definedName name="HH">#REF!</definedName>
    <definedName name="_xlnm.Print_Titles" localSheetId="0">'PPM DECEMBRE 2026 (2)'!$7:$7</definedName>
    <definedName name="Mag_Ctr">'[1]Commande 1ère Tranche'!#REF!</definedName>
    <definedName name="Mag_Qrt">'[1]Commande 1ère Tranche'!#REF!</definedName>
    <definedName name="Maxi_Couv">'[1]Commande 1ère Tranche'!#REF!</definedName>
    <definedName name="Montant_CR03">'[1]Commande 1ère Tranche'!#REF!</definedName>
    <definedName name="Montant_Tranche02">'[1]Commande 1ère Tranche'!#REF!</definedName>
    <definedName name="Montant_Tranche03">'[1]Commande 1ère Tranche'!#REF!</definedName>
    <definedName name="octobre">#REF!</definedName>
    <definedName name="OLE_LINK1">#REF!</definedName>
    <definedName name="Pérempt">'[6]Projet Budget 2004'!#REF!</definedName>
    <definedName name="Péremption">'[1]Commande 1ère Tranche'!#REF!</definedName>
    <definedName name="Première_Tranche">#REF!</definedName>
    <definedName name="Prévu_m1">'[10]Janvier-20'!$I$38</definedName>
    <definedName name="Prevu_m2">'[10]février-20'!$I$37</definedName>
    <definedName name="PU_Achat">#REF!</definedName>
    <definedName name="PuVte2003">'[6]Projet Budget 2004'!#REF!</definedName>
    <definedName name="QT">#REF!</definedName>
    <definedName name="Qté_à_Cder">#REF!</definedName>
    <definedName name="QtéAcder2004">'[6]Projet Budget 2004'!#REF!</definedName>
    <definedName name="Real_m1">'[10]Janvier-20'!$I$36</definedName>
    <definedName name="Real_m2">'[10]février-20'!$I$35</definedName>
    <definedName name="Real_n_1">'[10]février-20'!$I$41</definedName>
    <definedName name="robe">'[4]Bon de Cde'!#REF!</definedName>
    <definedName name="rtoo">'[4]Bon de Cde'!$B$1:$B$65536</definedName>
    <definedName name="RTR">'[11]Projet Budget 2004'!#REF!</definedName>
    <definedName name="sop">'[12]Commande 1ère Tranche'!#REF!</definedName>
    <definedName name="stk">'[12]Commande 1ère Tranche'!#REF!</definedName>
    <definedName name="Stock_à_Cder">'[1]Commande 1ère Tranche'!#REF!</definedName>
    <definedName name="Stock_à_Rétirer">#REF!</definedName>
    <definedName name="Stock_à_Terme">#REF!</definedName>
    <definedName name="Stock_Alerte">#REF!</definedName>
    <definedName name="Stock_Amba_Minis">'[1]Commande 1ère Tranche'!#REF!</definedName>
    <definedName name="Stock_Cameg">'[1]Commande 1ère Tranche'!#REF!</definedName>
    <definedName name="Stock_Cameg_311299">#REF!</definedName>
    <definedName name="Stock_CAMEG_final">#REF!</definedName>
    <definedName name="Stock_Maxi">'[1]Commande 1ère Tranche'!#REF!</definedName>
    <definedName name="StockAlerte">'[6]Projet Budget 2004'!#REF!</definedName>
    <definedName name="StockCameg12_12_03">'[6]Projet Budget 2004'!#REF!</definedName>
    <definedName name="StockCameg31_12_03">'[6]Projet Budget 2004'!#REF!</definedName>
    <definedName name="StockDal">'[6]Projet Budget 2004'!#REF!</definedName>
    <definedName name="StockDvm">'[6]Projet Budget 2004'!#REF!</definedName>
    <definedName name="Taux_Douane">#REF!</definedName>
    <definedName name="Terme_Minist_peremp">'[1]Commande 1ère Tranche'!#REF!</definedName>
    <definedName name="TotalDvmVolume">'[6]Projet Budget 2004'!#REF!</definedName>
    <definedName name="TotalValeurDvm">'[6]Projet Budget 2004'!#REF!</definedName>
    <definedName name="tr">'[4]Bon de Cde'!#REF!</definedName>
    <definedName name="Tranche02">'[1]Commande 1ère Tranche'!#REF!</definedName>
    <definedName name="Tranche03">'[1]Commande 1ère Tranche'!#REF!</definedName>
    <definedName name="Transit">#REF!</definedName>
    <definedName name="Transit_Total">#REF!</definedName>
    <definedName name="ttttts">'[4]Bon de Cde'!#REF!</definedName>
    <definedName name="ValDouane">'[6]Projet Budget 2004'!#REF!</definedName>
    <definedName name="ValGarantie">'[6]Projet Budget 2004'!#REF!</definedName>
    <definedName name="Vente_2000">#REF!</definedName>
    <definedName name="Vte_CAM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9" l="1"/>
  <c r="B5" i="29"/>
  <c r="E23" i="31"/>
  <c r="E13" i="31"/>
  <c r="E29" i="31"/>
  <c r="F5" i="28"/>
  <c r="D5" i="29"/>
  <c r="D5" i="28"/>
  <c r="I5" i="29"/>
  <c r="H6" i="29" s="1"/>
  <c r="I5" i="28"/>
  <c r="C5" i="29"/>
  <c r="G85" i="31" l="1"/>
  <c r="F85" i="31"/>
  <c r="N84" i="31"/>
  <c r="P84" i="31" s="1"/>
  <c r="S84" i="31" s="1"/>
  <c r="H84" i="31"/>
  <c r="I84" i="31" s="1"/>
  <c r="N83" i="31"/>
  <c r="P83" i="31" s="1"/>
  <c r="S83" i="31" s="1"/>
  <c r="H83" i="31"/>
  <c r="I83" i="31" s="1"/>
  <c r="N82" i="31"/>
  <c r="E82" i="31"/>
  <c r="H82" i="31" s="1"/>
  <c r="I82" i="31" s="1"/>
  <c r="N81" i="31"/>
  <c r="E81" i="31"/>
  <c r="H81" i="31" s="1"/>
  <c r="I81" i="31" s="1"/>
  <c r="N80" i="31"/>
  <c r="E80" i="31"/>
  <c r="H80" i="31" s="1"/>
  <c r="I80" i="31" s="1"/>
  <c r="N79" i="31"/>
  <c r="P79" i="31" s="1"/>
  <c r="H79" i="31"/>
  <c r="I79" i="31" s="1"/>
  <c r="N78" i="31"/>
  <c r="P78" i="31" s="1"/>
  <c r="H78" i="31"/>
  <c r="I78" i="31" s="1"/>
  <c r="N77" i="31"/>
  <c r="P77" i="31" s="1"/>
  <c r="S77" i="31" s="1"/>
  <c r="H77" i="31"/>
  <c r="I77" i="31" s="1"/>
  <c r="N76" i="31"/>
  <c r="P76" i="31" s="1"/>
  <c r="S76" i="31" s="1"/>
  <c r="H76" i="31"/>
  <c r="I76" i="31" s="1"/>
  <c r="P75" i="31"/>
  <c r="S75" i="31" s="1"/>
  <c r="H75" i="31"/>
  <c r="I75" i="31" s="1"/>
  <c r="N74" i="31"/>
  <c r="P74" i="31" s="1"/>
  <c r="S74" i="31" s="1"/>
  <c r="H74" i="31"/>
  <c r="I74" i="31" s="1"/>
  <c r="N73" i="31"/>
  <c r="P73" i="31" s="1"/>
  <c r="S73" i="31" s="1"/>
  <c r="H73" i="31"/>
  <c r="I73" i="31" s="1"/>
  <c r="S72" i="31"/>
  <c r="H72" i="31"/>
  <c r="I72" i="31" s="1"/>
  <c r="N71" i="31"/>
  <c r="P71" i="31" s="1"/>
  <c r="S71" i="31" s="1"/>
  <c r="H71" i="31"/>
  <c r="I71" i="31" s="1"/>
  <c r="N70" i="31"/>
  <c r="P70" i="31" s="1"/>
  <c r="S70" i="31" s="1"/>
  <c r="E70" i="31"/>
  <c r="H70" i="31" s="1"/>
  <c r="I70" i="31" s="1"/>
  <c r="N69" i="31"/>
  <c r="P69" i="31" s="1"/>
  <c r="S69" i="31" s="1"/>
  <c r="H69" i="31"/>
  <c r="I69" i="31" s="1"/>
  <c r="N68" i="31"/>
  <c r="P68" i="31" s="1"/>
  <c r="S68" i="31" s="1"/>
  <c r="I68" i="31"/>
  <c r="N67" i="31"/>
  <c r="P67" i="31" s="1"/>
  <c r="S67" i="31" s="1"/>
  <c r="E67" i="31"/>
  <c r="H67" i="31" s="1"/>
  <c r="I67" i="31" s="1"/>
  <c r="S66" i="31"/>
  <c r="H66" i="31"/>
  <c r="I66" i="31" s="1"/>
  <c r="E65" i="31"/>
  <c r="H65" i="31" s="1"/>
  <c r="I65" i="31" s="1"/>
  <c r="S64" i="31"/>
  <c r="H64" i="31"/>
  <c r="I64" i="31" s="1"/>
  <c r="N63" i="31"/>
  <c r="P63" i="31" s="1"/>
  <c r="S63" i="31" s="1"/>
  <c r="E63" i="31"/>
  <c r="H63" i="31" s="1"/>
  <c r="I63" i="31" s="1"/>
  <c r="N62" i="31"/>
  <c r="P62" i="31" s="1"/>
  <c r="S62" i="31" s="1"/>
  <c r="H62" i="31"/>
  <c r="I62" i="31" s="1"/>
  <c r="N61" i="31"/>
  <c r="P61" i="31" s="1"/>
  <c r="S61" i="31" s="1"/>
  <c r="H61" i="31"/>
  <c r="I61" i="31" s="1"/>
  <c r="E60" i="31"/>
  <c r="H60" i="31" s="1"/>
  <c r="I60" i="31" s="1"/>
  <c r="H59" i="31"/>
  <c r="I59" i="31" s="1"/>
  <c r="N58" i="31"/>
  <c r="P58" i="31" s="1"/>
  <c r="E58" i="31"/>
  <c r="H58" i="31" s="1"/>
  <c r="I58" i="31" s="1"/>
  <c r="N57" i="31"/>
  <c r="P57" i="31" s="1"/>
  <c r="S57" i="31" s="1"/>
  <c r="H57" i="31"/>
  <c r="I57" i="31" s="1"/>
  <c r="N56" i="31"/>
  <c r="P56" i="31" s="1"/>
  <c r="H56" i="31"/>
  <c r="I56" i="31" s="1"/>
  <c r="N55" i="31"/>
  <c r="P55" i="31" s="1"/>
  <c r="H55" i="31"/>
  <c r="I55" i="31" s="1"/>
  <c r="N54" i="31"/>
  <c r="P54" i="31" s="1"/>
  <c r="H54" i="31"/>
  <c r="I54" i="31" s="1"/>
  <c r="N53" i="31"/>
  <c r="P53" i="31" s="1"/>
  <c r="H53" i="31"/>
  <c r="I53" i="31" s="1"/>
  <c r="N52" i="31"/>
  <c r="P52" i="31" s="1"/>
  <c r="H52" i="31"/>
  <c r="I52" i="31" s="1"/>
  <c r="N51" i="31"/>
  <c r="P51" i="31" s="1"/>
  <c r="H51" i="31"/>
  <c r="I51" i="31" s="1"/>
  <c r="N50" i="31"/>
  <c r="P50" i="31" s="1"/>
  <c r="H50" i="31"/>
  <c r="I50" i="31" s="1"/>
  <c r="N49" i="31"/>
  <c r="P49" i="31" s="1"/>
  <c r="H49" i="31"/>
  <c r="I49" i="31" s="1"/>
  <c r="N48" i="31"/>
  <c r="P48" i="31" s="1"/>
  <c r="H48" i="31"/>
  <c r="I48" i="31" s="1"/>
  <c r="N47" i="31"/>
  <c r="P47" i="31" s="1"/>
  <c r="E47" i="31"/>
  <c r="H47" i="31" s="1"/>
  <c r="I47" i="31" s="1"/>
  <c r="N46" i="31"/>
  <c r="P46" i="31" s="1"/>
  <c r="H46" i="31"/>
  <c r="I46" i="31" s="1"/>
  <c r="N45" i="31"/>
  <c r="P45" i="31" s="1"/>
  <c r="S45" i="31" s="1"/>
  <c r="E45" i="31"/>
  <c r="H45" i="31" s="1"/>
  <c r="I45" i="31" s="1"/>
  <c r="N44" i="31"/>
  <c r="P44" i="31" s="1"/>
  <c r="S44" i="31" s="1"/>
  <c r="H44" i="31"/>
  <c r="I44" i="31" s="1"/>
  <c r="N43" i="31"/>
  <c r="P43" i="31" s="1"/>
  <c r="S43" i="31" s="1"/>
  <c r="H43" i="31"/>
  <c r="I43" i="31" s="1"/>
  <c r="N42" i="31"/>
  <c r="P42" i="31" s="1"/>
  <c r="S42" i="31" s="1"/>
  <c r="H42" i="31"/>
  <c r="I42" i="31" s="1"/>
  <c r="N41" i="31"/>
  <c r="P41" i="31" s="1"/>
  <c r="S41" i="31" s="1"/>
  <c r="H41" i="31"/>
  <c r="I41" i="31" s="1"/>
  <c r="N40" i="31"/>
  <c r="P40" i="31" s="1"/>
  <c r="S40" i="31" s="1"/>
  <c r="E40" i="31"/>
  <c r="N39" i="31"/>
  <c r="P39" i="31" s="1"/>
  <c r="S39" i="31" s="1"/>
  <c r="H39" i="31"/>
  <c r="I39" i="31" s="1"/>
  <c r="N38" i="31"/>
  <c r="P38" i="31" s="1"/>
  <c r="S38" i="31" s="1"/>
  <c r="E38" i="31"/>
  <c r="H38" i="31" s="1"/>
  <c r="I38" i="31" s="1"/>
  <c r="N37" i="31"/>
  <c r="P37" i="31" s="1"/>
  <c r="S37" i="31" s="1"/>
  <c r="H37" i="31"/>
  <c r="I37" i="31" s="1"/>
  <c r="H36" i="31"/>
  <c r="N35" i="31"/>
  <c r="P35" i="31" s="1"/>
  <c r="E35" i="31"/>
  <c r="H35" i="31" s="1"/>
  <c r="N34" i="31"/>
  <c r="P34" i="31" s="1"/>
  <c r="S34" i="31" s="1"/>
  <c r="E34" i="31"/>
  <c r="H34" i="31" s="1"/>
  <c r="I34" i="31" s="1"/>
  <c r="N33" i="31"/>
  <c r="P33" i="31" s="1"/>
  <c r="E33" i="31"/>
  <c r="H33" i="31" s="1"/>
  <c r="I33" i="31" s="1"/>
  <c r="N32" i="31"/>
  <c r="P32" i="31" s="1"/>
  <c r="H32" i="31"/>
  <c r="I32" i="31" s="1"/>
  <c r="G30" i="31"/>
  <c r="F30" i="31"/>
  <c r="N29" i="31"/>
  <c r="P29" i="31" s="1"/>
  <c r="S29" i="31" s="1"/>
  <c r="H29" i="31"/>
  <c r="I29" i="31" s="1"/>
  <c r="S28" i="31"/>
  <c r="H28" i="31"/>
  <c r="I28" i="31" s="1"/>
  <c r="N27" i="31"/>
  <c r="P27" i="31" s="1"/>
  <c r="S27" i="31" s="1"/>
  <c r="H27" i="31"/>
  <c r="I27" i="31" s="1"/>
  <c r="N26" i="31"/>
  <c r="P26" i="31" s="1"/>
  <c r="S26" i="31" s="1"/>
  <c r="H26" i="31"/>
  <c r="I26" i="31" s="1"/>
  <c r="N25" i="31"/>
  <c r="P25" i="31" s="1"/>
  <c r="S25" i="31" s="1"/>
  <c r="H25" i="31"/>
  <c r="I25" i="31" s="1"/>
  <c r="N24" i="31"/>
  <c r="P24" i="31" s="1"/>
  <c r="S24" i="31" s="1"/>
  <c r="H24" i="31"/>
  <c r="I24" i="31" s="1"/>
  <c r="N23" i="31"/>
  <c r="P23" i="31" s="1"/>
  <c r="S23" i="31" s="1"/>
  <c r="H23" i="31"/>
  <c r="I23" i="31" s="1"/>
  <c r="N22" i="31"/>
  <c r="P22" i="31" s="1"/>
  <c r="S22" i="31" s="1"/>
  <c r="H22" i="31"/>
  <c r="I22" i="31" s="1"/>
  <c r="N21" i="31"/>
  <c r="P21" i="31" s="1"/>
  <c r="S21" i="31" s="1"/>
  <c r="H21" i="31"/>
  <c r="I21" i="31" s="1"/>
  <c r="N20" i="31"/>
  <c r="P20" i="31" s="1"/>
  <c r="S20" i="31" s="1"/>
  <c r="H20" i="31"/>
  <c r="I20" i="31" s="1"/>
  <c r="N19" i="31"/>
  <c r="P19" i="31" s="1"/>
  <c r="S19" i="31" s="1"/>
  <c r="H19" i="31"/>
  <c r="I19" i="31" s="1"/>
  <c r="S18" i="31"/>
  <c r="N18" i="31"/>
  <c r="H18" i="31"/>
  <c r="I18" i="31" s="1"/>
  <c r="N17" i="31"/>
  <c r="P17" i="31" s="1"/>
  <c r="S17" i="31" s="1"/>
  <c r="H17" i="31"/>
  <c r="I17" i="31" s="1"/>
  <c r="N16" i="31"/>
  <c r="P16" i="31" s="1"/>
  <c r="S16" i="31" s="1"/>
  <c r="H16" i="31"/>
  <c r="I16" i="31" s="1"/>
  <c r="N15" i="31"/>
  <c r="P15" i="31" s="1"/>
  <c r="S15" i="31" s="1"/>
  <c r="H15" i="31"/>
  <c r="I15" i="31" s="1"/>
  <c r="N14" i="31"/>
  <c r="P14" i="31" s="1"/>
  <c r="S14" i="31" s="1"/>
  <c r="H14" i="31"/>
  <c r="I14" i="31" s="1"/>
  <c r="N13" i="31"/>
  <c r="P13" i="31" s="1"/>
  <c r="S13" i="31" s="1"/>
  <c r="N12" i="31"/>
  <c r="P12" i="31" s="1"/>
  <c r="S12" i="31" s="1"/>
  <c r="H12" i="31"/>
  <c r="I12" i="31" s="1"/>
  <c r="N11" i="31"/>
  <c r="P11" i="31" s="1"/>
  <c r="S11" i="31" s="1"/>
  <c r="H11" i="31"/>
  <c r="I11" i="31" s="1"/>
  <c r="N10" i="31"/>
  <c r="P10" i="31" s="1"/>
  <c r="S10" i="31" s="1"/>
  <c r="H10" i="31"/>
  <c r="N9" i="31"/>
  <c r="P9" i="31" s="1"/>
  <c r="S9" i="31" s="1"/>
  <c r="H9" i="31"/>
  <c r="I9" i="31" s="1"/>
  <c r="V7" i="31"/>
  <c r="E85" i="31" l="1"/>
  <c r="I10" i="31"/>
  <c r="H40" i="31"/>
  <c r="G86" i="31"/>
  <c r="E30" i="31"/>
  <c r="H13" i="31"/>
  <c r="I13" i="31" s="1"/>
  <c r="F86" i="31"/>
  <c r="I40" i="31" l="1"/>
  <c r="I85" i="31" s="1"/>
  <c r="H85" i="31"/>
  <c r="E86" i="31"/>
  <c r="I30" i="31"/>
  <c r="H30" i="31"/>
  <c r="I86" i="31" l="1"/>
  <c r="H86" i="31"/>
  <c r="B6" i="29" l="1"/>
  <c r="H6" i="28"/>
  <c r="B6" i="28"/>
  <c r="L13" i="28"/>
  <c r="D6" i="29" l="1"/>
  <c r="J6" i="29" s="1"/>
  <c r="D6" i="28"/>
  <c r="J5" i="28"/>
  <c r="J6" i="28" l="1"/>
  <c r="F7" i="28" s="1"/>
  <c r="F7" i="29"/>
  <c r="G7" i="29"/>
  <c r="E7" i="29"/>
  <c r="D7" i="29"/>
  <c r="C7" i="29"/>
  <c r="B7" i="29"/>
  <c r="B8" i="29"/>
  <c r="H7" i="29"/>
  <c r="G7" i="28" l="1"/>
  <c r="H8" i="28"/>
  <c r="E7" i="28"/>
  <c r="J7" i="28"/>
  <c r="D7" i="28"/>
  <c r="B7" i="28"/>
  <c r="H7" i="28"/>
  <c r="B8" i="28"/>
  <c r="I7" i="28"/>
  <c r="C7" i="28"/>
  <c r="J7" i="29"/>
  <c r="H8" i="29"/>
  <c r="J8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tc={6620627D-7CC0-4DB7-AE1C-90E4D2D7BE31}</author>
  </authors>
  <commentList>
    <comment ref="J13" authorId="0" shapeId="0" xr:uid="{150ABE52-2CF7-428E-A1F2-08EC07C1903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cloissonement bureau nouveau batiment 5 000 000
+
portes couffeuse pour salles informatiques:  3*500 000=1 500000
suppression des fenetre= 1 000 000 </t>
        </r>
      </text>
    </comment>
    <comment ref="J14" authorId="0" shapeId="0" xr:uid="{C1BF01B4-9606-4620-9136-EED764F65AE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11"/>
            <color indexed="81"/>
            <rFont val="Tahoma"/>
            <family val="2"/>
          </rPr>
          <t xml:space="preserve">
la ligne Aménagement des locaux techniques : capteurs de température et vidéeosurveillance</t>
        </r>
      </text>
    </comment>
    <comment ref="J15" authorId="0" shapeId="0" xr:uid="{0B9019D8-1E98-4356-9F9A-71A41B3C04D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parking pour 25 véhicule</t>
        </r>
      </text>
    </comment>
    <comment ref="J16" authorId="0" shapeId="0" xr:uid="{0F9ABE79-E2F4-4F6F-887E-5C3A697E7B5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parking pour 25 véhicule</t>
        </r>
      </text>
    </comment>
    <comment ref="J17" authorId="0" shapeId="0" xr:uid="{5F7315A4-3EEF-432A-BE6F-7672E4070C0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parking pour 25 véhicule</t>
        </r>
      </text>
    </comment>
    <comment ref="J18" authorId="0" shapeId="0" xr:uid="{ED0CEC9B-CD35-4654-851C-884D3E98CE2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parking pour 25 véhicule</t>
        </r>
      </text>
    </comment>
    <comment ref="J19" authorId="0" shapeId="0" xr:uid="{851996DE-0731-42B8-A8DC-AC7536C8E1F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parking pour 25 véhicule</t>
        </r>
      </text>
    </comment>
    <comment ref="J20" authorId="0" shapeId="0" xr:uid="{6DC462A0-2904-4717-98E4-E70BAF9FBDC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MC1 et MC3: quantité  2000</t>
        </r>
      </text>
    </comment>
    <comment ref="J21" authorId="0" shapeId="0" xr:uid="{7FB3E38A-9F77-4518-8B09-0E436A68E0E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Quantité 30</t>
        </r>
      </text>
    </comment>
    <comment ref="J22" authorId="0" shapeId="0" xr:uid="{2655C6B7-DF81-403C-9ED9-32AC7EE6964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40 gerbeurs</t>
        </r>
      </text>
    </comment>
    <comment ref="J23" authorId="0" shapeId="0" xr:uid="{99C2F183-4EC6-4962-99BB-AC478171B9B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appareil de filmage= 4 unités
fontaine refri= 4 unités
A confirmer les PU</t>
        </r>
      </text>
    </comment>
    <comment ref="J24" authorId="0" shapeId="0" xr:uid="{5D6DDB0E-6B50-4EDC-8C58-86AAB043BCB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3 unités copieurs monochromes</t>
        </r>
      </text>
    </comment>
    <comment ref="J25" authorId="0" shapeId="0" xr:uid="{BF8D155F-9E99-49C9-8DCD-7E0EEB479B0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Chaise visiteurs: 20 unités
fauteuil de bureau: 15
bureau avec retour: 15
armoire pour archives: 15</t>
        </r>
      </text>
    </comment>
    <comment ref="J26" authorId="0" shapeId="0" xr:uid="{BD18C8A7-7A2F-460C-B96C-BEDEFC9002A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Oridinateur portable: 28 * 900 000= 25 200 000
ordinateur de bureau: 13*600 000= 7 800 000
Orinateur All in one= 1*1000 000
tablette professionnel: 74*300 000=22 200 000
</t>
        </r>
      </text>
    </comment>
    <comment ref="J27" authorId="0" shapeId="0" xr:uid="{E283C3FF-B305-488B-9227-5FA59D9D9622}">
      <text>
        <r>
          <rPr>
            <b/>
            <sz val="12"/>
            <color indexed="81"/>
            <rFont val="Tahoma"/>
            <family val="2"/>
          </rPr>
          <t>HP:</t>
        </r>
        <r>
          <rPr>
            <sz val="12"/>
            <color indexed="81"/>
            <rFont val="Tahoma"/>
            <family val="2"/>
          </rPr>
          <t xml:space="preserve">
lecteurs robot de sauvegarde; 6 500 000;
imprimante: 500 000*6
imprimante couleur : 2*1000 000</t>
        </r>
      </text>
    </comment>
    <comment ref="J28" authorId="0" shapeId="0" xr:uid="{BD3B1B68-5CA2-4831-B025-95570C92A8F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glacières homologuées 300-320 litres: 11*1,500 000
glacières homologuées 200  litres: 15*1000 000
glacières homologuées 500 litres: 15*2 500 000
glacières homologuées 50 : litres: 8*650 000
fut d'alcool: 30 000* 150
congelateur à températive négative; 1* 5000 000
back pour les vracs de dimenssion: 200*100 000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" authorId="0" shapeId="0" xr:uid="{36CF9949-59C6-49D9-B7C9-96A22219511D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voir hypothèse investissment
Camion 40 TONNES (DEL, ACO1)= 4*125 millions
</t>
        </r>
      </text>
    </comment>
    <comment ref="J34" authorId="0" shapeId="0" xr:uid="{49A6A7F2-5D4C-4DB6-8CA3-51DC1C07770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6047: Disque dure externe 4To; 5*100 000 /Disque dure SSD = 20*50 000/ chargeur pour ordinateur= 20*25 000/ clavier +souris sans fil = 15*60 000/ clavier souris avec fil=15*40 000 /bande de sauvegarde LT0-9 (45TB)=10*150 000
6056= telephone portable=4500000</t>
        </r>
      </text>
    </comment>
    <comment ref="H38" authorId="0" shapeId="0" xr:uid="{D4CD2F25-F42C-425D-9886-E2B7D1D2FB9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 repartir entre les EPI et petits materiel et outillage</t>
        </r>
      </text>
    </comment>
    <comment ref="J38" authorId="0" shapeId="0" xr:uid="{1E623730-78BA-4D9E-9A35-13BA10B99D3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</t>
        </r>
        <r>
          <rPr>
            <sz val="12"/>
            <color indexed="81"/>
            <rFont val="Tahoma"/>
            <family val="2"/>
          </rPr>
          <t>aissette pour monnaie 9*15000=135000/ mulitprise = 50*20000=1000000/ malette de maintenance= 5*250 000= 1250000/ emulseur pour extinction automatique= 1000*8000=800000/ appareil de filmage =4*300 000=1200000</t>
        </r>
      </text>
    </comment>
    <comment ref="J39" authorId="0" shapeId="0" xr:uid="{CD904972-7D1B-4C3F-B38B-DF0823DB4AD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 Combinaisons thermiques pour les chambres froides (blouses chaussures gants et bonnets) pour (pharmaciens, magasiniers, visiteurs)= 100*85000
</t>
        </r>
      </text>
    </comment>
    <comment ref="J40" authorId="0" shapeId="0" xr:uid="{CD765E1A-109F-4183-87AF-6E1FE4055CA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serrures
</t>
        </r>
      </text>
    </comment>
    <comment ref="H42" authorId="0" shapeId="0" xr:uid="{46FF689E-374F-45E8-8CCB-191CEFAC0DC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1300 000 déjà consommé</t>
        </r>
      </text>
    </comment>
    <comment ref="J45" authorId="0" shapeId="0" xr:uid="{D5CA2D9A-3A80-41FA-932B-CCA73C08FEA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rideau= 2500000+ moquette 3850000</t>
        </r>
      </text>
    </comment>
    <comment ref="J47" authorId="0" shapeId="0" xr:uid="{CBC155F9-323E-4417-841C-DDBB70EAD77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imprimante; onduleur; serveur; copieur ordinateur; fontaine à eau,</t>
        </r>
      </text>
    </comment>
    <comment ref="H50" authorId="0" shapeId="0" xr:uid="{05C0DA0C-3609-4E40-9248-7960160B9A8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 éclater entre rMaintenance du reseau incendie au profit de la CAMEG et Entretien et reparation des extincteurs au profit de la CAMEG</t>
        </r>
      </text>
    </comment>
    <comment ref="J56" authorId="0" shapeId="0" xr:uid="{8BF2A66F-85B4-433C-B321-257398B396C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gerbeur; monte-charge; autres matériel de manutention</t>
        </r>
      </text>
    </comment>
    <comment ref="J60" authorId="0" shapeId="0" xr:uid="{C448FC6E-D00A-4671-9A88-4CE1EF0AC12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Assurance multirisque des locaux et des bureaux =105000000
+
ssurance du matériel de transport=40 000 000
+
Asuurance du personnel=128 300 000</t>
        </r>
      </text>
    </comment>
    <comment ref="J65" authorId="0" shapeId="0" xr:uid="{2E161E67-F3F7-4C36-B6F2-A876F122F7E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=(internet M'Data:28800000+réseau interconnexion58675080</t>
        </r>
      </text>
    </comment>
    <comment ref="J67" authorId="0" shapeId="0" xr:uid="{7C4550FB-3CFE-457D-97B9-24ED805D019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Inétgrer le reste du budgte des polos (25 m-16 7 00 000) +budget des t,shirt à la révision du PPM</t>
        </r>
      </text>
    </comment>
    <comment ref="J68" authorId="0" shapeId="0" xr:uid="{769F319B-9E0B-466A-B338-10182E8C2F0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Sacs reuitisable: 7 000 000; stylo: 600 000; porte clé: 1 500 000; clés Usb= 3 500 000+KAKEMONOS= 750 000 ,Calendrier 6500X2500 et blocs note 2500x4000=10 millions et tasse etc</t>
        </r>
      </text>
    </comment>
    <comment ref="J69" authorId="1" shapeId="0" xr:uid="{6620627D-7CC0-4DB7-AE1C-90E4D2D7BE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300x40000=12 000 000</t>
      </text>
    </comment>
    <comment ref="J70" authorId="0" shapeId="0" xr:uid="{7B05C012-1BFD-4976-9F5A-055A6A93F9D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tenue de travail:  3 600 000; blouse: 120 000+ 2000 000 annulé des confections des pagnes</t>
        </r>
      </text>
    </comment>
    <comment ref="J71" authorId="0" shapeId="0" xr:uid="{866B1070-402A-4DBE-8D47-A8E908CDB0D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fiche d'inventaire
A preciser</t>
        </r>
      </text>
    </comment>
    <comment ref="J72" authorId="0" shapeId="0" xr:uid="{4F60C2D5-384C-450C-ACD3-32641820165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annulation de 1 000 000</t>
        </r>
      </text>
    </comment>
    <comment ref="J73" authorId="0" shapeId="0" xr:uid="{FD0DE669-EFE7-4EEA-8F7F-069EC9A6E2E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mini documentaires: 5000 000 et documentaires sur les actions de la CAMEG 13 min</t>
        </r>
      </text>
    </comment>
    <comment ref="J74" authorId="0" shapeId="0" xr:uid="{06BCF231-BAD4-4B84-BBF0-D0E65558922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mini documentaires: 5000 000 et documentaires sur les actions de la CAMEG 13 min</t>
        </r>
      </text>
    </comment>
    <comment ref="J79" authorId="0" shapeId="0" xr:uid="{9595214C-E270-49F6-A70F-9608459E0D7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s'assurer des prestataires si des formateurs publics ou des cabinets:</t>
        </r>
      </text>
    </comment>
    <comment ref="J91" authorId="0" shapeId="0" xr:uid="{D52AB86E-C486-476F-A223-84473CBDD93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Sacs reuitisable: 7 000 000; stylo: 600 000; porte clé: 1 500 000; clés Usb= 3 500 000+KAKEMONOS= 750 000 ,Calendrier 6500X2500 et 2500x4000</t>
        </r>
      </text>
    </comment>
  </commentList>
</comments>
</file>

<file path=xl/sharedStrings.xml><?xml version="1.0" encoding="utf-8"?>
<sst xmlns="http://schemas.openxmlformats.org/spreadsheetml/2006/main" count="499" uniqueCount="171">
  <si>
    <t>ED</t>
  </si>
  <si>
    <t>DC</t>
  </si>
  <si>
    <t>DP-MI</t>
  </si>
  <si>
    <t>DPX</t>
  </si>
  <si>
    <t>AOO</t>
  </si>
  <si>
    <t>AOO: appel d'offres ouvert</t>
  </si>
  <si>
    <t>DPX: demande de prix</t>
  </si>
  <si>
    <t>DC: demande de cotation</t>
  </si>
  <si>
    <t>RUBRIQUE</t>
  </si>
  <si>
    <t>PROCEDURE DE DROIT COMMUN</t>
  </si>
  <si>
    <t>TOTAL GENERAL</t>
  </si>
  <si>
    <t>Total par procédure</t>
  </si>
  <si>
    <t>Total par groupe de procédures</t>
  </si>
  <si>
    <t>Pourcentage par procédure</t>
  </si>
  <si>
    <t>Pourcentage par groupe de procédures</t>
  </si>
  <si>
    <t>Conclusion</t>
  </si>
  <si>
    <t>N°</t>
  </si>
  <si>
    <t>Mode de passation</t>
  </si>
  <si>
    <t xml:space="preserve"> </t>
  </si>
  <si>
    <t>DP-A</t>
  </si>
  <si>
    <t>CC</t>
  </si>
  <si>
    <t>CC: Consultation de Consultants</t>
  </si>
  <si>
    <t>DP-MI: demande de proposition précédée d'une Manifestation d'Intérêt</t>
  </si>
  <si>
    <t>ED: Entente Directe</t>
  </si>
  <si>
    <t>Légende</t>
  </si>
  <si>
    <t>DP-A: Demande de Proposition Allégée</t>
  </si>
  <si>
    <t>PROCEDURE EXCEPTIONNELLE</t>
  </si>
  <si>
    <t>supérieur  à 85%</t>
  </si>
  <si>
    <t>inférieur à 15%</t>
  </si>
  <si>
    <t>Taux de la norme de bonne gouvernance acceptable</t>
  </si>
  <si>
    <t>Pourcentage par  groupe de procédure</t>
  </si>
  <si>
    <t>d</t>
  </si>
  <si>
    <t>Taux en déca de  la norme de bonne gouvernance</t>
  </si>
  <si>
    <t>NATURE DES PRESTATIONS</t>
  </si>
  <si>
    <t>Date probable de démarrage des prestations</t>
  </si>
  <si>
    <t>Délai d'exécution prévu (jour)</t>
  </si>
  <si>
    <t>OBSERVATIONS</t>
  </si>
  <si>
    <t>STATUT</t>
  </si>
  <si>
    <t>COMMENTAIRES</t>
  </si>
  <si>
    <t>NON INITIE</t>
  </si>
  <si>
    <t xml:space="preserve"> ED </t>
  </si>
  <si>
    <t xml:space="preserve">EN COURS DEXECUTION </t>
  </si>
  <si>
    <t>NON INITIEE</t>
  </si>
  <si>
    <t xml:space="preserve"> DPx </t>
  </si>
  <si>
    <t>L'AMI EST EN COURS DELABORATION</t>
  </si>
  <si>
    <t>EN COURS</t>
  </si>
  <si>
    <t xml:space="preserve"> Dpx </t>
  </si>
  <si>
    <t>EXECUTE</t>
  </si>
  <si>
    <t xml:space="preserve">Prestation de gardiennage </t>
  </si>
  <si>
    <t>Prestation de nettoyage des sites de la CAMEG</t>
  </si>
  <si>
    <t>Financement</t>
  </si>
  <si>
    <t>LIGNE BUDGETAIRE</t>
  </si>
  <si>
    <t>Montant initial HTVA (FCFA)</t>
  </si>
  <si>
    <t>Ouverture/annultation</t>
  </si>
  <si>
    <t>Montant révisé HTVA</t>
  </si>
  <si>
    <t>Crédits disponibles HTVA</t>
  </si>
  <si>
    <t>Type de revue</t>
  </si>
  <si>
    <t>Date de lancement de l'appel à conccurence</t>
  </si>
  <si>
    <t>Date de remise des offres/propositions</t>
  </si>
  <si>
    <t>Temps nécéssaire à l'évaluation des offres/propositions</t>
  </si>
  <si>
    <t>Date probable defin d'éxécution</t>
  </si>
  <si>
    <t>I   N  V  E  S  T  I  S  S  E  M  E  N  T</t>
  </si>
  <si>
    <t>Budget CAMEG</t>
  </si>
  <si>
    <t>A priori</t>
  </si>
  <si>
    <t>Annulation de 50 millions de l'acquisition de parcelle</t>
  </si>
  <si>
    <t>A postériori</t>
  </si>
  <si>
    <t>AOR</t>
  </si>
  <si>
    <t>DC-F</t>
  </si>
  <si>
    <t>TOTAL INVESTISSEMENT</t>
  </si>
  <si>
    <t>F  O  N  C  T  I  O  N  N  E  M  E  N  T</t>
  </si>
  <si>
    <t xml:space="preserve"> DPX </t>
  </si>
  <si>
    <t>Ouverture de 4 130 000 pour l'acquisition des imprimés et scotch estampiés CAMEG pour inventaires</t>
  </si>
  <si>
    <t>DC-F à C</t>
  </si>
  <si>
    <t>Annulation de la ligne location des magasins pour se conformer à l'arreté portant bail</t>
  </si>
  <si>
    <t xml:space="preserve"> DC-F à C</t>
  </si>
  <si>
    <t>DPX à C</t>
  </si>
  <si>
    <t>TOTAL FONCTIONNEMENT</t>
  </si>
  <si>
    <t>Structure concernée: CAMEG</t>
  </si>
  <si>
    <t>PROCEDURE ALLEGEES</t>
  </si>
  <si>
    <t>PROCEDURE ALLEGEE</t>
  </si>
  <si>
    <t>DPro-MI</t>
  </si>
  <si>
    <t xml:space="preserve">Taux au dessus la norme de bonne gouvernance </t>
  </si>
  <si>
    <t xml:space="preserve">Achat de carburant pour les véhicules de distribution de produits pharmaceutiques </t>
  </si>
  <si>
    <t>Renouvellement licences SAGE (sage 1000, paie, self service) (nbr de lot: 1)</t>
  </si>
  <si>
    <t>Abonnement Géolocalisation (nbr de lot: 1)</t>
  </si>
  <si>
    <t>Acquisition de petits matériel et outillage divers (nbr de lot: 1)</t>
  </si>
  <si>
    <t>Audit energétique (ANEREE)               (nbr de lot: 1)</t>
  </si>
  <si>
    <t>Crédits disponibles TTC</t>
  </si>
  <si>
    <t>Prestation d'enlèvement et d'incinération de dechets toxiques au profit de la CAMEG</t>
  </si>
  <si>
    <t>Acquisition de consommables informatiques au profit de la CAMEG (nbr de lot: 2)</t>
  </si>
  <si>
    <t>Achat de carburant pour le fonctionnement de l'administration (nbr de lot: 3)</t>
  </si>
  <si>
    <t xml:space="preserve"> ED à C </t>
  </si>
  <si>
    <t>60471000 et 6056000</t>
  </si>
  <si>
    <t>Acquisition de matériel pour le renforcement de la sécurité des entrés et des véhicules de livraison au profit de la CAMEG (nbr de lot: 1)</t>
  </si>
  <si>
    <t>Convention avec MOOV AFRICA pour la fourniture d'une ligne directe CAMEG-TENGANDOGO/BNSP (nbr de lot: 1)</t>
  </si>
  <si>
    <t>Prestation courante de desinfection des magasins au profit de la CAMEG (nbr de lot: 1)</t>
  </si>
  <si>
    <t>Prestation d'entretien et de réparation du mobilier de bureau au profit de la CAMEG</t>
  </si>
  <si>
    <t>AOO à C</t>
  </si>
  <si>
    <t>Prestation de service courant pour l'entretien la réparation des installations sécurité incendie et contrôle d"accès  (RIA, extincteurs, détecteurs de fumées,…) (nbr de lot: 2)</t>
  </si>
  <si>
    <t>Prestation de service courant pour l'entretien et maintenance du système d'accès et de la videosurveillance(nbr de lot: 1)</t>
  </si>
  <si>
    <t>Prestation de service courant pour l'entretien la réparation des installations de froid (chambre froide, chambre climatisée, climatiseurs, armoire frigorifique) (nbr de lot: 1)</t>
  </si>
  <si>
    <t>Prestation de service courant pour l'entretien et la réparation du système de bioclimatisation (nbr de lot: 1)</t>
  </si>
  <si>
    <t>Prestation de service courant pour l'entretien la réparation des installations électriques et des groupes électrogènes (nbr de lot: 1)</t>
  </si>
  <si>
    <t>Prestation de service courant pour l'entretien et la réparation de l'ascenseur  (nbr de lot: 1)</t>
  </si>
  <si>
    <t>62423000-62424000</t>
  </si>
  <si>
    <t>Prestation de service courant pour l'entretien et la réparation du matriel et outillage (nbr de lot: 1)</t>
  </si>
  <si>
    <t>Acquisition de  licences Microsoft 365, MS project online et licences serveurs (nbr de lot: 1)</t>
  </si>
  <si>
    <t>Renouvellement licences antivirus (postes utilisateurs et serveurs messageries…)  et licence Veemback et autres logiciel  (nbr de lot: 1)</t>
  </si>
  <si>
    <t>Prestations d'Assurance (assurance multirisque des locaux et des bureaux,du matériel de transport  et assurance du personnel )(nbr de lot: 3)</t>
  </si>
  <si>
    <t>Recrutement d'un cabinet pour l'assistance de la mise en place d'une comptabilité analytique au  profit de la CAMEG(nbr de lot: 1)</t>
  </si>
  <si>
    <t>Recrutement d'un cabinet pour l'élaboration de la politique et stratégie opérationnelle, marketing et commercial de la CAMEG(nbr de lot: 1)</t>
  </si>
  <si>
    <t xml:space="preserve"> ED à C  </t>
  </si>
  <si>
    <t>Convention avec l'ANPTIC pour la connexion au RESINA (nbr de lot: 1)</t>
  </si>
  <si>
    <t>Acquisition  polos au profit de la CAMEG (nbr de lot: 2)</t>
  </si>
  <si>
    <t>Confection de  Confection Coffret VIP  profit de la CAMEG (nbr de lot: 2)</t>
  </si>
  <si>
    <t>Confection de tenue de travail  profit de la CAMEG (nbr de lot: 1)</t>
  </si>
  <si>
    <t>Acquisition d'imprimés profit de la CAMEG (nbr de lot: 1)</t>
  </si>
  <si>
    <t>Recrutement d'une agence de communictaion pour la conception et la réalisation de documentaires au profit de la CAMEG (nbr de lot: 1)</t>
  </si>
  <si>
    <t>CC à C</t>
  </si>
  <si>
    <t>Prestation de pause café et de pause déjeuner au profit de la CAMEG</t>
  </si>
  <si>
    <t xml:space="preserve">Prestation de mise à disposition d'agents de manutention dans les magasins </t>
  </si>
  <si>
    <t>Aménagement d'un plateau de sport au profit de la CAMEG (nbr de lot: 1)</t>
  </si>
  <si>
    <t>Etude et suivi de l'aménagement d'un plateau de sport au profit de la CAMEG (nbr de lot: 1)</t>
  </si>
  <si>
    <t>Aménagement d'un parking auto au siège de la CAMEG (nbr de lot: 1)</t>
  </si>
  <si>
    <t>Recrutement d'un cabinet pour les études d'aménagement d'un site pour matétiel usagers (nbr de lot: 1)</t>
  </si>
  <si>
    <t>Recrutement d'un cabinet pour le suivi  de l'aménagement d'un site pour matétiel usagers (nbr de lot: 1)</t>
  </si>
  <si>
    <t>Acquisition et installation des climatiseurs au profit de la CAMEG (nbr de lot: 1)</t>
  </si>
  <si>
    <t>Acquisition de transpalettes au profit de la CAMEG (nbr de lot: 1)</t>
  </si>
  <si>
    <t>Acquisition de gerbeurs au profit de la CAMEG (nbr de lot: 1)</t>
  </si>
  <si>
    <t>Acquisition d'appareil de filmage et fontaine refrigérante connectée à l'ONEA au profit de la CAMEG (nbr de lot: 1)</t>
  </si>
  <si>
    <t>Confection de pagne aux motifs de CAMEG suivant arreté N°2026-307/MEF/CAB portant détermination des prestations spécifiques et procédures applicables (nbr de lot: 1)</t>
  </si>
  <si>
    <t>Dpro-MI</t>
  </si>
  <si>
    <t xml:space="preserve"> DPX à C</t>
  </si>
  <si>
    <t>Recrutement d'une agence pour la gestion des platesformes numériques de la CAMEG (nbr de lot: 1)</t>
  </si>
  <si>
    <t>12//2026</t>
  </si>
  <si>
    <t xml:space="preserve"> ED à C</t>
  </si>
  <si>
    <t>Tableau 4: INDICATEURS DE BONNE GOUVERNANCE   SELON LE MONTANT EN DECEMBRE 2025</t>
  </si>
  <si>
    <t>Tableau 3: INDICATEURS DE BONNE GOUVERNANCE SELON EN DECEMBRE 2025</t>
  </si>
  <si>
    <t>Acquisition et mise en fonction de logiciel ERP ORACLE JDE au profit de la CAMEG (nbr de lot: 1)</t>
  </si>
  <si>
    <t>Acquisition et insatallation de matériel technique pour les locaux informatiques au profit de la CAMEG (nbr de lot: 1)</t>
  </si>
  <si>
    <t>Acquisition de matériel de bureau au profit de la CAMEG (nbr de lot: 1)</t>
  </si>
  <si>
    <t>Acquisition de mobilier de bureau au profit de la CAMEG (nbr de lot: 1)</t>
  </si>
  <si>
    <t>Acquisition de matériel de stockage pharmaceutique au profit de la CAMEG (nbr de lot: 2)</t>
  </si>
  <si>
    <t>Acquisition de matériel de transport au profit de la CAMEG (nbr de lot: 5)</t>
  </si>
  <si>
    <t>Acquisition   d'équipements de protection individuelle au profit de la CAMEG (nbr de lot: 1)</t>
  </si>
  <si>
    <t>Acquisition de moquettes et de rideaux au profit de la CAMEG (nbr de lot: 1)</t>
  </si>
  <si>
    <t>Prestation de service courant pour l'entretien la réparation du matériel roulant  au profit de la CAMEG (nbr de lot: 4)</t>
  </si>
  <si>
    <t>Prestation de service courant pour l'entretien et maintenance de la plomberie, des forages (nbr de lot: 1)</t>
  </si>
  <si>
    <t>Abonnement internet: (internet M'Data,  internet  service informatique (cartes téléphoniques pour internet), réseau interconnexion   (nbr de lot: 2)</t>
  </si>
  <si>
    <t>Audits de système de management (audit de surveillance ISO 9001) par le cabinet BSI   (nbr de lot: 1)</t>
  </si>
  <si>
    <t>convention avec la BNSP (nbr de lot: 1)</t>
  </si>
  <si>
    <t>Acquisition de fournitures peri-informatiques  au profit de la CAMEG (nbr de lot: 2)</t>
  </si>
  <si>
    <t>Acquisition de produits d'entretien  au profit de la CAMEG (nbr de lot: 1)</t>
  </si>
  <si>
    <t xml:space="preserve"> DPx à C</t>
  </si>
  <si>
    <t>Cloisonnement de bureaux et  remplacement des portes des locaux informatiques au profit de la CAMEG (nbr de lot: 1)</t>
  </si>
  <si>
    <t>Recrutement d'un cabinet pour la rédaction du manuel d'audit de la CAMEG (nbr de lot: 1)</t>
  </si>
  <si>
    <t xml:space="preserve"> AOO à C</t>
  </si>
  <si>
    <t xml:space="preserve"> AOO  à C</t>
  </si>
  <si>
    <t>Recrutement d'un cabinet pour l'AMOA de mise en fonction de logiciel ERP ORACLE JDE au profit de la CAMEG (nbr de lot: 1)</t>
  </si>
  <si>
    <t>Acquisition de matériel informatiques autres que les équipements de HI au profit de la CAMEG (nbr de lot: 1)</t>
  </si>
  <si>
    <t>Acquisition de fournitures de bureau au profit de la CAMEG (nbr de lot: 1)</t>
  </si>
  <si>
    <t>Acquisition de matériel informatiques suivant Accord cadre nationale avec Horizon International (nbr de lot: 1)</t>
  </si>
  <si>
    <t>Acquisition de titres  de transport (billeterie) au profit de la CAMEG (nbr de lot: 1)</t>
  </si>
  <si>
    <t>Locations de salles de réunion, et de matériels de cérémonie au profit de la CAMEG (nbr de lot: 2)</t>
  </si>
  <si>
    <t>Prestation d'entretien et de maintenance du matériel informatique, de matériel de bureau et des équipements réseaux (nbr de lot: 1)</t>
  </si>
  <si>
    <t>Convention de gestion de l'Assurance maladie (contrat en cours MCI)</t>
  </si>
  <si>
    <t>Formation du personnel sur divers thématiques (catalogue et cabinet)</t>
  </si>
  <si>
    <t>Travaux d'aménagement d'un site pour matériels usagés à Tengandogo (nbr de lot: 1)</t>
  </si>
  <si>
    <t xml:space="preserve">PLAN DE PASSATION DES MARCHES 2026 DE LA CAMEG - DECEMBRE 2025 </t>
  </si>
  <si>
    <r>
      <t xml:space="preserve">Acquisition de gadgets  au profit de la CAMEG (nbr de lot: 3)  </t>
    </r>
    <r>
      <rPr>
        <sz val="10"/>
        <color rgb="FFFF0000"/>
        <rFont val="Times New Roman"/>
        <family val="1"/>
      </rPr>
      <t>nvo montant 49560 000 Fcfa</t>
    </r>
  </si>
  <si>
    <r>
      <t xml:space="preserve">Acquisition de palettes au profit de la CAMEG (nbr de lot: 1) Lire </t>
    </r>
    <r>
      <rPr>
        <sz val="10"/>
        <color rgb="FFFF0000"/>
        <rFont val="Times New Roman"/>
        <family val="1"/>
      </rPr>
      <t>Acquisition de 2500 palettes en bois rouges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</si>
</sst>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\ _€_-;\-* #,##0.00\ _€_-;_-* &quot;-&quot;??\ _€_-;_-@_-"/>
    <numFmt numFmtId="165" formatCode="#,##0_ ;\-#,##0\ "/>
    <numFmt numFmtId="166" formatCode="_(* #,##0_);_(* \(#,##0\);_(* &quot;-&quot;??_);_(@_)"/>
  </numFmts>
  <fonts count="3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Calibri"/>
      <family val="2"/>
    </font>
    <font>
      <sz val="11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rgb="FF000000"/>
      <name val="Arial Narrow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3"/>
      <color rgb="FF000000"/>
      <name val="Calibri"/>
      <family val="2"/>
    </font>
    <font>
      <b/>
      <sz val="12"/>
      <name val="Bahnschrift SemiBold Condensed"/>
      <family val="2"/>
    </font>
    <font>
      <b/>
      <sz val="12"/>
      <color theme="0"/>
      <name val="Bahnschrift SemiBold Condensed"/>
      <family val="2"/>
    </font>
    <font>
      <b/>
      <sz val="12"/>
      <color theme="0"/>
      <name val="Arial Black"/>
      <family val="2"/>
    </font>
    <font>
      <sz val="12"/>
      <color theme="0"/>
      <name val="Bahnschrift SemiBold Condensed"/>
      <family val="2"/>
    </font>
    <font>
      <sz val="12"/>
      <name val="Bahnschrift SemiBold 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ahnschrift Condensed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Bahnschrift Condensed"/>
      <family val="2"/>
    </font>
    <font>
      <sz val="11"/>
      <name val="Calibri"/>
      <family val="2"/>
      <scheme val="minor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11"/>
      <name val="Calibri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64" fontId="7" fillId="0" borderId="0">
      <alignment vertical="top"/>
      <protection locked="0"/>
    </xf>
    <xf numFmtId="9" fontId="7" fillId="0" borderId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2" fillId="0" borderId="0" xfId="0" applyFont="1" applyAlignment="1"/>
    <xf numFmtId="3" fontId="2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0" fontId="7" fillId="0" borderId="1" xfId="2" applyNumberFormat="1" applyBorder="1" applyAlignment="1" applyProtection="1">
      <alignment horizontal="center" vertical="center"/>
    </xf>
    <xf numFmtId="10" fontId="2" fillId="0" borderId="0" xfId="0" applyNumberFormat="1" applyFont="1" applyAlignment="1"/>
    <xf numFmtId="0" fontId="3" fillId="0" borderId="4" xfId="0" applyFont="1" applyBorder="1" applyAlignment="1">
      <alignment horizontal="center" vertical="center"/>
    </xf>
    <xf numFmtId="165" fontId="6" fillId="0" borderId="1" xfId="1" applyNumberFormat="1" applyFont="1" applyBorder="1" applyAlignment="1" applyProtection="1">
      <alignment horizontal="center" vertical="center"/>
    </xf>
    <xf numFmtId="165" fontId="2" fillId="0" borderId="0" xfId="0" applyNumberFormat="1" applyFont="1" applyAlignment="1"/>
    <xf numFmtId="10" fontId="6" fillId="0" borderId="1" xfId="2" applyNumberFormat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3" fontId="9" fillId="0" borderId="0" xfId="0" applyNumberFormat="1" applyFont="1">
      <alignment vertical="center"/>
    </xf>
    <xf numFmtId="3" fontId="9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3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5" borderId="13" xfId="3" applyFont="1" applyFill="1" applyBorder="1" applyAlignment="1">
      <alignment horizontal="center" vertical="center" wrapText="1"/>
    </xf>
    <xf numFmtId="0" fontId="13" fillId="5" borderId="12" xfId="3" applyFont="1" applyFill="1" applyBorder="1" applyAlignment="1">
      <alignment horizontal="center" vertical="center" wrapText="1"/>
    </xf>
    <xf numFmtId="9" fontId="14" fillId="6" borderId="12" xfId="3" applyNumberFormat="1" applyFont="1" applyFill="1" applyBorder="1" applyAlignment="1">
      <alignment horizontal="center" vertical="center" wrapText="1"/>
    </xf>
    <xf numFmtId="0" fontId="15" fillId="5" borderId="12" xfId="3" applyFont="1" applyFill="1" applyBorder="1" applyAlignment="1">
      <alignment horizontal="center" vertical="center" wrapText="1"/>
    </xf>
    <xf numFmtId="0" fontId="1" fillId="0" borderId="0" xfId="3"/>
    <xf numFmtId="0" fontId="13" fillId="4" borderId="1" xfId="3" applyFont="1" applyFill="1" applyBorder="1" applyAlignment="1">
      <alignment horizontal="center" vertical="center" wrapText="1"/>
    </xf>
    <xf numFmtId="9" fontId="14" fillId="4" borderId="1" xfId="3" applyNumberFormat="1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1" fillId="4" borderId="1" xfId="3" applyFill="1" applyBorder="1"/>
    <xf numFmtId="0" fontId="16" fillId="0" borderId="14" xfId="3" applyFont="1" applyBorder="1" applyAlignment="1">
      <alignment horizontal="left" vertical="top" wrapText="1"/>
    </xf>
    <xf numFmtId="0" fontId="16" fillId="2" borderId="8" xfId="3" applyFont="1" applyFill="1" applyBorder="1" applyAlignment="1">
      <alignment horizontal="left" vertical="top" wrapText="1"/>
    </xf>
    <xf numFmtId="0" fontId="16" fillId="2" borderId="15" xfId="3" applyFont="1" applyFill="1" applyBorder="1" applyAlignment="1">
      <alignment horizontal="left" vertical="top" wrapText="1"/>
    </xf>
    <xf numFmtId="0" fontId="16" fillId="2" borderId="10" xfId="3" applyFont="1" applyFill="1" applyBorder="1" applyAlignment="1">
      <alignment horizontal="left" vertical="top" wrapText="1"/>
    </xf>
    <xf numFmtId="9" fontId="12" fillId="0" borderId="11" xfId="3" applyNumberFormat="1" applyFont="1" applyBorder="1" applyAlignment="1">
      <alignment horizontal="center" vertical="top" wrapText="1"/>
    </xf>
    <xf numFmtId="0" fontId="16" fillId="3" borderId="10" xfId="3" applyFont="1" applyFill="1" applyBorder="1" applyAlignment="1">
      <alignment horizontal="left" vertical="top" wrapText="1"/>
    </xf>
    <xf numFmtId="9" fontId="12" fillId="3" borderId="11" xfId="3" applyNumberFormat="1" applyFont="1" applyFill="1" applyBorder="1" applyAlignment="1">
      <alignment horizontal="center" vertical="top" wrapText="1"/>
    </xf>
    <xf numFmtId="0" fontId="16" fillId="4" borderId="15" xfId="3" applyFont="1" applyFill="1" applyBorder="1" applyAlignment="1">
      <alignment horizontal="left" vertical="top" wrapText="1"/>
    </xf>
    <xf numFmtId="0" fontId="16" fillId="4" borderId="10" xfId="3" applyFont="1" applyFill="1" applyBorder="1" applyAlignment="1">
      <alignment horizontal="left" vertical="top" wrapText="1"/>
    </xf>
    <xf numFmtId="0" fontId="16" fillId="3" borderId="15" xfId="3" applyFont="1" applyFill="1" applyBorder="1" applyAlignment="1">
      <alignment horizontal="left" vertical="top" wrapText="1"/>
    </xf>
    <xf numFmtId="9" fontId="12" fillId="4" borderId="11" xfId="3" applyNumberFormat="1" applyFont="1" applyFill="1" applyBorder="1" applyAlignment="1">
      <alignment horizontal="center" vertical="top" wrapText="1"/>
    </xf>
    <xf numFmtId="0" fontId="16" fillId="6" borderId="15" xfId="3" applyFont="1" applyFill="1" applyBorder="1" applyAlignment="1">
      <alignment horizontal="left" vertical="top" wrapText="1"/>
    </xf>
    <xf numFmtId="0" fontId="16" fillId="6" borderId="10" xfId="3" applyFont="1" applyFill="1" applyBorder="1" applyAlignment="1">
      <alignment horizontal="left" vertical="top" wrapText="1"/>
    </xf>
    <xf numFmtId="9" fontId="12" fillId="6" borderId="11" xfId="3" applyNumberFormat="1" applyFont="1" applyFill="1" applyBorder="1" applyAlignment="1">
      <alignment horizontal="center" vertical="top" wrapText="1"/>
    </xf>
    <xf numFmtId="0" fontId="1" fillId="0" borderId="0" xfId="3" applyAlignment="1">
      <alignment horizontal="center"/>
    </xf>
    <xf numFmtId="0" fontId="1" fillId="0" borderId="0" xfId="3" applyAlignment="1">
      <alignment horizontal="center" vertical="center"/>
    </xf>
    <xf numFmtId="41" fontId="0" fillId="0" borderId="0" xfId="5" applyFont="1" applyAlignment="1">
      <alignment vertical="center"/>
    </xf>
    <xf numFmtId="41" fontId="0" fillId="0" borderId="1" xfId="5" applyFont="1" applyBorder="1" applyAlignment="1">
      <alignment horizontal="center" vertical="center"/>
    </xf>
    <xf numFmtId="3" fontId="9" fillId="0" borderId="3" xfId="0" applyNumberFormat="1" applyFont="1" applyBorder="1">
      <alignment vertical="center"/>
    </xf>
    <xf numFmtId="0" fontId="1" fillId="0" borderId="0" xfId="3" applyAlignment="1">
      <alignment horizontal="center" vertical="center" wrapText="1"/>
    </xf>
    <xf numFmtId="0" fontId="19" fillId="0" borderId="0" xfId="3" applyFont="1"/>
    <xf numFmtId="0" fontId="13" fillId="4" borderId="3" xfId="3" applyFont="1" applyFill="1" applyBorder="1" applyAlignment="1">
      <alignment horizontal="center" vertical="center" wrapText="1"/>
    </xf>
    <xf numFmtId="0" fontId="19" fillId="4" borderId="2" xfId="3" applyFont="1" applyFill="1" applyBorder="1"/>
    <xf numFmtId="3" fontId="0" fillId="0" borderId="0" xfId="0" applyNumberFormat="1">
      <alignment vertical="center"/>
    </xf>
    <xf numFmtId="0" fontId="22" fillId="0" borderId="0" xfId="3" applyFont="1"/>
    <xf numFmtId="0" fontId="23" fillId="0" borderId="0" xfId="3" applyFont="1"/>
    <xf numFmtId="0" fontId="22" fillId="4" borderId="0" xfId="3" applyFont="1" applyFill="1"/>
    <xf numFmtId="0" fontId="23" fillId="4" borderId="0" xfId="3" applyFont="1" applyFill="1"/>
    <xf numFmtId="0" fontId="16" fillId="4" borderId="15" xfId="3" applyFont="1" applyFill="1" applyBorder="1" applyAlignment="1">
      <alignment horizontal="left" vertical="center" wrapText="1"/>
    </xf>
    <xf numFmtId="0" fontId="16" fillId="4" borderId="10" xfId="3" applyFont="1" applyFill="1" applyBorder="1" applyAlignment="1">
      <alignment horizontal="left" vertical="center" wrapText="1"/>
    </xf>
    <xf numFmtId="9" fontId="12" fillId="4" borderId="11" xfId="3" applyNumberFormat="1" applyFont="1" applyFill="1" applyBorder="1" applyAlignment="1">
      <alignment horizontal="center" vertical="center" wrapText="1"/>
    </xf>
    <xf numFmtId="0" fontId="22" fillId="4" borderId="0" xfId="3" applyFont="1" applyFill="1" applyAlignment="1">
      <alignment vertical="center"/>
    </xf>
    <xf numFmtId="0" fontId="23" fillId="4" borderId="0" xfId="3" applyFont="1" applyFill="1" applyAlignment="1">
      <alignment vertical="center"/>
    </xf>
    <xf numFmtId="9" fontId="12" fillId="0" borderId="9" xfId="3" applyNumberFormat="1" applyFont="1" applyBorder="1" applyAlignment="1">
      <alignment horizontal="center" vertical="top" wrapText="1"/>
    </xf>
    <xf numFmtId="41" fontId="26" fillId="0" borderId="0" xfId="5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41" fontId="0" fillId="0" borderId="0" xfId="5" applyFont="1" applyBorder="1" applyAlignment="1">
      <alignment horizontal="center" vertical="center"/>
    </xf>
    <xf numFmtId="0" fontId="1" fillId="4" borderId="0" xfId="3" applyFill="1"/>
    <xf numFmtId="0" fontId="23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30" fillId="0" borderId="0" xfId="3" applyFont="1" applyAlignment="1">
      <alignment horizontal="center" vertical="center" wrapText="1"/>
    </xf>
    <xf numFmtId="0" fontId="32" fillId="7" borderId="16" xfId="3" applyFont="1" applyFill="1" applyBorder="1" applyAlignment="1">
      <alignment horizontal="center" vertical="center"/>
    </xf>
    <xf numFmtId="0" fontId="32" fillId="7" borderId="16" xfId="3" applyFont="1" applyFill="1" applyBorder="1" applyAlignment="1">
      <alignment horizontal="center" vertical="center" textRotation="90" wrapText="1"/>
    </xf>
    <xf numFmtId="0" fontId="32" fillId="7" borderId="16" xfId="3" applyFont="1" applyFill="1" applyBorder="1" applyAlignment="1">
      <alignment horizontal="center" vertical="center" wrapText="1"/>
    </xf>
    <xf numFmtId="41" fontId="32" fillId="7" borderId="16" xfId="5" applyFont="1" applyFill="1" applyBorder="1" applyAlignment="1">
      <alignment horizontal="center" vertical="center" wrapText="1"/>
    </xf>
    <xf numFmtId="0" fontId="33" fillId="4" borderId="16" xfId="3" applyFont="1" applyFill="1" applyBorder="1" applyAlignment="1">
      <alignment horizontal="center" vertical="center"/>
    </xf>
    <xf numFmtId="0" fontId="31" fillId="0" borderId="16" xfId="3" applyFont="1" applyBorder="1" applyAlignment="1">
      <alignment horizontal="center" vertical="center" wrapText="1"/>
    </xf>
    <xf numFmtId="0" fontId="31" fillId="0" borderId="16" xfId="3" applyFont="1" applyBorder="1" applyAlignment="1">
      <alignment horizontal="center" vertical="center"/>
    </xf>
    <xf numFmtId="41" fontId="31" fillId="0" borderId="16" xfId="5" applyFont="1" applyBorder="1" applyAlignment="1">
      <alignment vertical="center"/>
    </xf>
    <xf numFmtId="41" fontId="31" fillId="0" borderId="16" xfId="5" applyFont="1" applyBorder="1" applyAlignment="1">
      <alignment horizontal="center" vertical="center"/>
    </xf>
    <xf numFmtId="14" fontId="31" fillId="0" borderId="16" xfId="3" applyNumberFormat="1" applyFont="1" applyBorder="1" applyAlignment="1">
      <alignment horizontal="center" vertical="center"/>
    </xf>
    <xf numFmtId="14" fontId="31" fillId="0" borderId="16" xfId="3" applyNumberFormat="1" applyFont="1" applyBorder="1" applyAlignment="1">
      <alignment horizontal="left" vertical="top"/>
    </xf>
    <xf numFmtId="41" fontId="31" fillId="2" borderId="16" xfId="5" applyFont="1" applyFill="1" applyBorder="1" applyAlignment="1">
      <alignment vertical="center"/>
    </xf>
    <xf numFmtId="41" fontId="31" fillId="2" borderId="16" xfId="5" applyFont="1" applyFill="1" applyBorder="1" applyAlignment="1">
      <alignment horizontal="center" vertical="center"/>
    </xf>
    <xf numFmtId="0" fontId="31" fillId="2" borderId="16" xfId="3" applyFont="1" applyFill="1" applyBorder="1" applyAlignment="1">
      <alignment horizontal="center" vertical="center" wrapText="1"/>
    </xf>
    <xf numFmtId="14" fontId="31" fillId="4" borderId="16" xfId="3" applyNumberFormat="1" applyFont="1" applyFill="1" applyBorder="1" applyAlignment="1">
      <alignment horizontal="center" vertical="center"/>
    </xf>
    <xf numFmtId="0" fontId="31" fillId="4" borderId="16" xfId="3" applyFont="1" applyFill="1" applyBorder="1" applyAlignment="1">
      <alignment horizontal="center" vertical="center"/>
    </xf>
    <xf numFmtId="14" fontId="31" fillId="2" borderId="16" xfId="3" applyNumberFormat="1" applyFont="1" applyFill="1" applyBorder="1" applyAlignment="1">
      <alignment horizontal="center" vertical="center"/>
    </xf>
    <xf numFmtId="14" fontId="31" fillId="2" borderId="16" xfId="3" applyNumberFormat="1" applyFont="1" applyFill="1" applyBorder="1" applyAlignment="1">
      <alignment horizontal="left" vertical="top"/>
    </xf>
    <xf numFmtId="0" fontId="31" fillId="2" borderId="16" xfId="3" applyFont="1" applyFill="1" applyBorder="1" applyAlignment="1">
      <alignment horizontal="center" vertical="center"/>
    </xf>
    <xf numFmtId="0" fontId="31" fillId="4" borderId="16" xfId="3" applyFont="1" applyFill="1" applyBorder="1" applyAlignment="1">
      <alignment horizontal="center" vertical="center" wrapText="1"/>
    </xf>
    <xf numFmtId="41" fontId="31" fillId="4" borderId="16" xfId="5" applyFont="1" applyFill="1" applyBorder="1" applyAlignment="1">
      <alignment vertical="center"/>
    </xf>
    <xf numFmtId="41" fontId="31" fillId="4" borderId="16" xfId="5" applyFont="1" applyFill="1" applyBorder="1" applyAlignment="1">
      <alignment horizontal="center" vertical="center"/>
    </xf>
    <xf numFmtId="41" fontId="31" fillId="4" borderId="16" xfId="5" applyFont="1" applyFill="1" applyBorder="1" applyAlignment="1">
      <alignment horizontal="center" vertical="center" wrapText="1"/>
    </xf>
    <xf numFmtId="14" fontId="31" fillId="4" borderId="16" xfId="3" applyNumberFormat="1" applyFont="1" applyFill="1" applyBorder="1" applyAlignment="1">
      <alignment horizontal="left" vertical="top"/>
    </xf>
    <xf numFmtId="166" fontId="32" fillId="4" borderId="16" xfId="1" applyNumberFormat="1" applyFont="1" applyFill="1" applyBorder="1" applyAlignment="1" applyProtection="1">
      <alignment vertical="center"/>
    </xf>
    <xf numFmtId="14" fontId="31" fillId="4" borderId="16" xfId="3" applyNumberFormat="1" applyFont="1" applyFill="1" applyBorder="1" applyAlignment="1">
      <alignment horizontal="left" vertical="center"/>
    </xf>
    <xf numFmtId="14" fontId="34" fillId="4" borderId="16" xfId="3" applyNumberFormat="1" applyFont="1" applyFill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1" fillId="0" borderId="0" xfId="3" applyAlignment="1">
      <alignment vertical="center"/>
    </xf>
    <xf numFmtId="41" fontId="35" fillId="0" borderId="16" xfId="5" applyFont="1" applyBorder="1" applyAlignment="1">
      <alignment horizontal="center" vertical="center" wrapText="1"/>
    </xf>
    <xf numFmtId="41" fontId="35" fillId="4" borderId="16" xfId="5" applyFont="1" applyFill="1" applyBorder="1" applyAlignment="1">
      <alignment horizontal="center" vertical="center" wrapText="1"/>
    </xf>
    <xf numFmtId="41" fontId="31" fillId="0" borderId="16" xfId="5" applyFont="1" applyFill="1" applyBorder="1" applyAlignment="1">
      <alignment vertical="center"/>
    </xf>
    <xf numFmtId="41" fontId="31" fillId="0" borderId="16" xfId="5" applyFont="1" applyFill="1" applyBorder="1" applyAlignment="1">
      <alignment horizontal="center" vertical="center"/>
    </xf>
    <xf numFmtId="41" fontId="31" fillId="0" borderId="16" xfId="5" applyFont="1" applyFill="1" applyBorder="1" applyAlignment="1">
      <alignment horizontal="center" vertical="center" wrapText="1"/>
    </xf>
    <xf numFmtId="0" fontId="16" fillId="0" borderId="15" xfId="3" applyFont="1" applyBorder="1" applyAlignment="1">
      <alignment horizontal="left" vertical="top" wrapText="1"/>
    </xf>
    <xf numFmtId="0" fontId="16" fillId="0" borderId="10" xfId="3" applyFont="1" applyBorder="1" applyAlignment="1">
      <alignment horizontal="left" vertical="top" wrapText="1"/>
    </xf>
    <xf numFmtId="41" fontId="35" fillId="0" borderId="16" xfId="5" applyFont="1" applyFill="1" applyBorder="1" applyAlignment="1">
      <alignment horizontal="center" vertical="center" wrapText="1"/>
    </xf>
    <xf numFmtId="14" fontId="34" fillId="0" borderId="16" xfId="3" applyNumberFormat="1" applyFont="1" applyBorder="1" applyAlignment="1">
      <alignment horizontal="center" vertical="center"/>
    </xf>
    <xf numFmtId="0" fontId="32" fillId="10" borderId="16" xfId="3" applyFont="1" applyFill="1" applyBorder="1" applyAlignment="1">
      <alignment horizontal="center" vertical="center" wrapText="1"/>
    </xf>
    <xf numFmtId="41" fontId="32" fillId="10" borderId="16" xfId="5" applyFont="1" applyFill="1" applyBorder="1" applyAlignment="1">
      <alignment vertical="center"/>
    </xf>
    <xf numFmtId="41" fontId="32" fillId="10" borderId="16" xfId="5" applyFont="1" applyFill="1" applyBorder="1" applyAlignment="1">
      <alignment horizontal="center" vertical="center"/>
    </xf>
    <xf numFmtId="41" fontId="32" fillId="9" borderId="16" xfId="5" applyFont="1" applyFill="1" applyBorder="1" applyAlignment="1">
      <alignment vertical="center"/>
    </xf>
    <xf numFmtId="41" fontId="32" fillId="9" borderId="16" xfId="5" applyFont="1" applyFill="1" applyBorder="1" applyAlignment="1">
      <alignment horizontal="center" vertical="center"/>
    </xf>
    <xf numFmtId="0" fontId="32" fillId="9" borderId="16" xfId="3" applyFont="1" applyFill="1" applyBorder="1" applyAlignment="1">
      <alignment horizontal="center" vertical="center" wrapText="1"/>
    </xf>
    <xf numFmtId="0" fontId="23" fillId="3" borderId="0" xfId="3" applyFont="1" applyFill="1" applyAlignment="1">
      <alignment vertical="center"/>
    </xf>
    <xf numFmtId="0" fontId="31" fillId="3" borderId="16" xfId="3" applyFont="1" applyFill="1" applyBorder="1" applyAlignment="1">
      <alignment horizontal="center" vertical="center"/>
    </xf>
    <xf numFmtId="0" fontId="31" fillId="3" borderId="16" xfId="3" applyFont="1" applyFill="1" applyBorder="1" applyAlignment="1">
      <alignment horizontal="center" vertical="center" wrapText="1"/>
    </xf>
    <xf numFmtId="41" fontId="31" fillId="3" borderId="16" xfId="5" applyFont="1" applyFill="1" applyBorder="1" applyAlignment="1">
      <alignment vertical="center"/>
    </xf>
    <xf numFmtId="41" fontId="31" fillId="3" borderId="16" xfId="5" applyFont="1" applyFill="1" applyBorder="1" applyAlignment="1">
      <alignment horizontal="center" vertical="center"/>
    </xf>
    <xf numFmtId="41" fontId="31" fillId="3" borderId="16" xfId="5" applyFont="1" applyFill="1" applyBorder="1" applyAlignment="1">
      <alignment horizontal="center" vertical="center" wrapText="1"/>
    </xf>
    <xf numFmtId="41" fontId="35" fillId="3" borderId="16" xfId="5" applyFont="1" applyFill="1" applyBorder="1" applyAlignment="1">
      <alignment horizontal="center" vertical="center" wrapText="1"/>
    </xf>
    <xf numFmtId="14" fontId="31" fillId="3" borderId="16" xfId="3" applyNumberFormat="1" applyFont="1" applyFill="1" applyBorder="1" applyAlignment="1">
      <alignment horizontal="center" vertical="center"/>
    </xf>
    <xf numFmtId="14" fontId="31" fillId="3" borderId="16" xfId="3" applyNumberFormat="1" applyFont="1" applyFill="1" applyBorder="1" applyAlignment="1">
      <alignment horizontal="left" vertical="top"/>
    </xf>
    <xf numFmtId="0" fontId="22" fillId="3" borderId="0" xfId="3" applyFont="1" applyFill="1"/>
    <xf numFmtId="0" fontId="23" fillId="3" borderId="0" xfId="3" applyFont="1" applyFill="1"/>
    <xf numFmtId="41" fontId="31" fillId="11" borderId="16" xfId="5" applyFont="1" applyFill="1" applyBorder="1" applyAlignment="1">
      <alignment vertical="center"/>
    </xf>
    <xf numFmtId="0" fontId="23" fillId="0" borderId="0" xfId="3" quotePrefix="1" applyFont="1" applyAlignment="1">
      <alignment horizontal="center" vertical="center" wrapText="1"/>
    </xf>
    <xf numFmtId="41" fontId="26" fillId="0" borderId="0" xfId="5" applyFont="1" applyAlignment="1">
      <alignment horizontal="center" vertical="center" wrapText="1"/>
    </xf>
    <xf numFmtId="14" fontId="31" fillId="4" borderId="16" xfId="3" applyNumberFormat="1" applyFont="1" applyFill="1" applyBorder="1" applyAlignment="1">
      <alignment horizontal="center" vertical="center" wrapText="1"/>
    </xf>
    <xf numFmtId="0" fontId="23" fillId="12" borderId="0" xfId="3" applyFont="1" applyFill="1" applyAlignment="1">
      <alignment vertical="center"/>
    </xf>
    <xf numFmtId="0" fontId="31" fillId="12" borderId="16" xfId="3" applyFont="1" applyFill="1" applyBorder="1" applyAlignment="1">
      <alignment horizontal="center" vertical="center"/>
    </xf>
    <xf numFmtId="0" fontId="31" fillId="12" borderId="16" xfId="3" applyFont="1" applyFill="1" applyBorder="1" applyAlignment="1">
      <alignment horizontal="center" vertical="center" wrapText="1"/>
    </xf>
    <xf numFmtId="41" fontId="31" fillId="12" borderId="16" xfId="5" applyFont="1" applyFill="1" applyBorder="1" applyAlignment="1">
      <alignment vertical="center"/>
    </xf>
    <xf numFmtId="41" fontId="31" fillId="12" borderId="16" xfId="5" applyFont="1" applyFill="1" applyBorder="1" applyAlignment="1">
      <alignment horizontal="center" vertical="center"/>
    </xf>
    <xf numFmtId="41" fontId="31" fillId="12" borderId="16" xfId="5" applyFont="1" applyFill="1" applyBorder="1" applyAlignment="1">
      <alignment horizontal="center" vertical="center" wrapText="1"/>
    </xf>
    <xf numFmtId="41" fontId="35" fillId="12" borderId="16" xfId="5" applyFont="1" applyFill="1" applyBorder="1" applyAlignment="1">
      <alignment horizontal="center" vertical="center" wrapText="1"/>
    </xf>
    <xf numFmtId="14" fontId="31" fillId="12" borderId="16" xfId="3" applyNumberFormat="1" applyFont="1" applyFill="1" applyBorder="1" applyAlignment="1">
      <alignment horizontal="center" vertical="center"/>
    </xf>
    <xf numFmtId="0" fontId="16" fillId="12" borderId="15" xfId="3" applyFont="1" applyFill="1" applyBorder="1" applyAlignment="1">
      <alignment horizontal="left" vertical="top" wrapText="1"/>
    </xf>
    <xf numFmtId="0" fontId="16" fillId="12" borderId="10" xfId="3" applyFont="1" applyFill="1" applyBorder="1" applyAlignment="1">
      <alignment horizontal="left" vertical="top" wrapText="1"/>
    </xf>
    <xf numFmtId="9" fontId="12" fillId="12" borderId="11" xfId="3" applyNumberFormat="1" applyFont="1" applyFill="1" applyBorder="1" applyAlignment="1">
      <alignment horizontal="center" vertical="top" wrapText="1"/>
    </xf>
    <xf numFmtId="0" fontId="22" fillId="12" borderId="0" xfId="3" applyFont="1" applyFill="1"/>
    <xf numFmtId="0" fontId="23" fillId="12" borderId="0" xfId="3" applyFont="1" applyFill="1"/>
    <xf numFmtId="0" fontId="23" fillId="13" borderId="0" xfId="3" applyFont="1" applyFill="1" applyAlignment="1">
      <alignment vertical="center"/>
    </xf>
    <xf numFmtId="0" fontId="31" fillId="13" borderId="16" xfId="3" applyFont="1" applyFill="1" applyBorder="1" applyAlignment="1">
      <alignment horizontal="center" vertical="center"/>
    </xf>
    <xf numFmtId="0" fontId="31" fillId="13" borderId="16" xfId="3" applyFont="1" applyFill="1" applyBorder="1" applyAlignment="1">
      <alignment horizontal="center" vertical="center" wrapText="1"/>
    </xf>
    <xf numFmtId="41" fontId="31" fillId="13" borderId="16" xfId="5" applyFont="1" applyFill="1" applyBorder="1" applyAlignment="1">
      <alignment vertical="center"/>
    </xf>
    <xf numFmtId="41" fontId="31" fillId="13" borderId="16" xfId="5" applyFont="1" applyFill="1" applyBorder="1" applyAlignment="1">
      <alignment horizontal="center" vertical="center"/>
    </xf>
    <xf numFmtId="41" fontId="35" fillId="13" borderId="16" xfId="5" applyFont="1" applyFill="1" applyBorder="1" applyAlignment="1">
      <alignment horizontal="center" vertical="center" wrapText="1"/>
    </xf>
    <xf numFmtId="14" fontId="31" fillId="13" borderId="16" xfId="3" applyNumberFormat="1" applyFont="1" applyFill="1" applyBorder="1" applyAlignment="1">
      <alignment horizontal="center" vertical="center"/>
    </xf>
    <xf numFmtId="0" fontId="23" fillId="13" borderId="0" xfId="3" applyFont="1" applyFill="1"/>
    <xf numFmtId="41" fontId="31" fillId="13" borderId="16" xfId="5" applyFont="1" applyFill="1" applyBorder="1" applyAlignment="1">
      <alignment horizontal="center" vertical="center" wrapText="1"/>
    </xf>
    <xf numFmtId="0" fontId="29" fillId="0" borderId="0" xfId="3" applyFont="1" applyAlignment="1">
      <alignment horizontal="center" vertical="top" wrapText="1"/>
    </xf>
    <xf numFmtId="0" fontId="30" fillId="0" borderId="0" xfId="3" applyFont="1" applyAlignment="1">
      <alignment horizontal="center" wrapText="1"/>
    </xf>
    <xf numFmtId="0" fontId="32" fillId="0" borderId="16" xfId="3" applyFont="1" applyBorder="1" applyAlignment="1">
      <alignment horizontal="center" vertical="center" wrapText="1"/>
    </xf>
    <xf numFmtId="0" fontId="32" fillId="10" borderId="16" xfId="3" applyFont="1" applyFill="1" applyBorder="1" applyAlignment="1">
      <alignment horizontal="center" vertical="center" wrapText="1"/>
    </xf>
    <xf numFmtId="41" fontId="31" fillId="10" borderId="16" xfId="3" applyNumberFormat="1" applyFont="1" applyFill="1" applyBorder="1" applyAlignment="1">
      <alignment horizontal="center" vertical="top" wrapText="1"/>
    </xf>
    <xf numFmtId="41" fontId="32" fillId="10" borderId="16" xfId="5" applyFont="1" applyFill="1" applyBorder="1" applyAlignment="1">
      <alignment horizontal="center" vertical="center" wrapText="1"/>
    </xf>
    <xf numFmtId="0" fontId="32" fillId="9" borderId="16" xfId="3" applyFont="1" applyFill="1" applyBorder="1" applyAlignment="1">
      <alignment horizontal="center" vertical="center"/>
    </xf>
    <xf numFmtId="41" fontId="32" fillId="9" borderId="16" xfId="5" applyFont="1" applyFill="1" applyBorder="1" applyAlignment="1">
      <alignment horizontal="center" vertical="center" wrapText="1"/>
    </xf>
    <xf numFmtId="0" fontId="31" fillId="0" borderId="16" xfId="3" applyFont="1" applyBorder="1" applyAlignment="1">
      <alignment horizontal="center" vertical="center"/>
    </xf>
    <xf numFmtId="41" fontId="31" fillId="0" borderId="16" xfId="5" applyFont="1" applyFill="1" applyBorder="1" applyAlignment="1">
      <alignment horizontal="center" vertical="center" wrapText="1"/>
    </xf>
    <xf numFmtId="41" fontId="35" fillId="0" borderId="16" xfId="5" applyFont="1" applyFill="1" applyBorder="1" applyAlignment="1">
      <alignment horizontal="center" vertical="center" wrapText="1"/>
    </xf>
    <xf numFmtId="14" fontId="31" fillId="0" borderId="16" xfId="3" applyNumberFormat="1" applyFont="1" applyBorder="1" applyAlignment="1">
      <alignment horizontal="center" vertical="center"/>
    </xf>
    <xf numFmtId="0" fontId="31" fillId="0" borderId="16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0" fontId="5" fillId="0" borderId="2" xfId="2" applyNumberFormat="1" applyFont="1" applyBorder="1" applyAlignment="1" applyProtection="1">
      <alignment horizontal="center" vertical="center"/>
    </xf>
    <xf numFmtId="10" fontId="5" fillId="0" borderId="3" xfId="2" applyNumberFormat="1" applyFont="1" applyBorder="1" applyAlignment="1" applyProtection="1">
      <alignment horizontal="center" vertical="center"/>
    </xf>
    <xf numFmtId="10" fontId="5" fillId="0" borderId="5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0" fontId="6" fillId="0" borderId="2" xfId="2" applyNumberFormat="1" applyFont="1" applyBorder="1" applyAlignment="1" applyProtection="1">
      <alignment horizontal="center" vertical="center"/>
    </xf>
    <xf numFmtId="10" fontId="6" fillId="0" borderId="3" xfId="2" applyNumberFormat="1" applyFont="1" applyBorder="1" applyAlignment="1" applyProtection="1">
      <alignment horizontal="center" vertical="center"/>
    </xf>
    <xf numFmtId="10" fontId="6" fillId="0" borderId="5" xfId="2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6">
    <cellStyle name="Milliers" xfId="1" builtinId="3"/>
    <cellStyle name="Milliers [0] 2" xfId="5" xr:uid="{A733D2FB-FBAC-4BD1-A10B-22FB29E0E2E4}"/>
    <cellStyle name="Normal" xfId="0" builtinId="0"/>
    <cellStyle name="Normal 2" xfId="3" xr:uid="{7340864E-AFDD-48BD-B50A-732F566ADC26}"/>
    <cellStyle name="Pourcentage" xfId="2" builtinId="5"/>
    <cellStyle name="Pourcentage 2" xfId="4" xr:uid="{7076695B-DDA1-4947-B1F9-746D2AAC1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1</xdr:row>
      <xdr:rowOff>21166</xdr:rowOff>
    </xdr:from>
    <xdr:to>
      <xdr:col>4</xdr:col>
      <xdr:colOff>222251</xdr:colOff>
      <xdr:row>4</xdr:row>
      <xdr:rowOff>84667</xdr:rowOff>
    </xdr:to>
    <xdr:pic>
      <xdr:nvPicPr>
        <xdr:cNvPr id="2" name="Image 1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AC85AD2B-ED3E-ACA7-A138-80732CE50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7" b="14644"/>
        <a:stretch>
          <a:fillRect/>
        </a:stretch>
      </xdr:blipFill>
      <xdr:spPr bwMode="auto">
        <a:xfrm>
          <a:off x="814917" y="211666"/>
          <a:ext cx="1693334" cy="635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s%20fichiers%202009\rapports%20d'activit&#233;s\Pr&#233;vision%20et%20Gestion%20des%20Stocks\CONSULTATION%20%2020001\CR03_2001\PV%20CR03_2001%20Annexe%2002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asimpore.CAMEG/Desktop/Administration%20des%20Ventes/Mes%20Fichiers%202020/Les%20Ventes%20Journali&#232;res/2020/Ventes%20Journali&#232;res%20Exercice%202020.xlsx" TargetMode="External"/><Relationship Id="rId1" Type="http://schemas.openxmlformats.org/officeDocument/2006/relationships/externalLinkPath" Target="/Users/asimpore.CAMEG/Desktop/Administration%20des%20Ventes/Mes%20Fichiers%202020/Les%20Ventes%20Journali&#232;res/2020/Ventes%20Journali&#232;res%20Exercice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_dro\cameg_nt\LOGISTIQUE%202004\Suivi%20des%20consommations\Suivi%20Const&#176;%20au%2031-12-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ULTATION%20%2020001\CR03_2001\PV%20CR03_2001%20Annexe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5\appli\DOSSIERS%20COMMUNS\ROBE%20Attn%20PA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&#233;vision%20et%20Gestion%20des%20Stocks\CONSULTATION%20%2020001\CR03_2001\PV%20CR03_2001%20Annexe%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SSIERS%20COMMUNS\ROBE%20Attn%20PASC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_dro\cameg_nt\ARNAUD\LOGISTIQUE%202004\Suivi%20des%20consommations\Suivi%20Const&#176;%20au%2031-12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-aco\appli\LOGISTIQUE%202004\Suivi%20des%20consommations\Suivi%20Const&#176;%20au%2031-12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s%20fichiers%202009\rapports%20d'activit&#233;s\Pr&#233;vision%20et%20Gestion%20des%20Stocks\Fr&#233;quence%20Organisationnelle%20Traitment%20des%20Infos\Suivi%20Const&#176;%20et%20Avis%20Arr.%20et%20Exp&#233;dit&#176;\R&#233;ajt%20Const&#176;%2003_12_2000%20+%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-aco\appli\BUDGET%20DAL\Budget%202004%20DAL\Projet%20Budget%20DAL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_dro\cameg_nt\Pr&#233;vision%20et%20Gestion%20des%20Stocks\Fr&#233;quence%20Organisationnelle%20Traitment%20des%20Infos\Suivi%20Const&#176;%20et%20Avis%20Arr.%20et%20Exp&#233;dit&#176;\R&#233;ajt%20Const&#176;%2003_12_2000%20+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 1ère Tranche"/>
      <sheetName val="Attributaire CIF"/>
      <sheetName val="Montant CR03 frs"/>
      <sheetName val="Motant Marché Frs CR03"/>
      <sheetName val="Frs Consultés"/>
      <sheetName val="Items Infructueux"/>
      <sheetName val="Triés  &amp;  Retenus "/>
      <sheetName val="Quantité  CR03 fr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vier-20"/>
      <sheetName val="Synthèse-Janvier"/>
      <sheetName val="Synthèse Hebdo Janvier"/>
      <sheetName val="février-20"/>
      <sheetName val="Synthèse-Février"/>
      <sheetName val="Synthèse Hebdo Février"/>
      <sheetName val="Synthèse Agences "/>
      <sheetName val="Mars-20"/>
      <sheetName val="Synthèse-Mars"/>
      <sheetName val="SYNTHESE-Trimestre"/>
      <sheetName val="Avril-20"/>
      <sheetName val="Synthèse-Avril"/>
      <sheetName val="Mai-20"/>
      <sheetName val="Synthèse-Mai"/>
      <sheetName val="Juin-20"/>
      <sheetName val="Synthèse-Juin"/>
      <sheetName val="Juillet-20"/>
      <sheetName val="Synthèse-Juillet"/>
      <sheetName val="Août-20"/>
      <sheetName val="Synthèse-Août"/>
      <sheetName val="Septembre-20"/>
      <sheetName val="Synthèse-Septembre"/>
      <sheetName val="Octobre-20"/>
      <sheetName val="Synthèse-Octobre "/>
      <sheetName val="Novembre-20"/>
      <sheetName val="Synthèse-Novembre  "/>
      <sheetName val="Decembre-20"/>
      <sheetName val="Synthèse-Decembre"/>
      <sheetName val="2ème Trimestre-20"/>
      <sheetName val="3ème Trimestre-20"/>
      <sheetName val="4ème Trimestre-20"/>
      <sheetName val="Tableau de bord"/>
      <sheetName val="SYNTHESE-Trimestre 1"/>
      <sheetName val="Synthèse Hebdo AVRIL"/>
    </sheetNames>
    <sheetDataSet>
      <sheetData sheetId="0">
        <row r="8">
          <cell r="DA8">
            <v>2519637416.5799999</v>
          </cell>
        </row>
        <row r="36">
          <cell r="I36">
            <v>574888618</v>
          </cell>
        </row>
        <row r="38">
          <cell r="I38">
            <v>565440285.99999988</v>
          </cell>
        </row>
      </sheetData>
      <sheetData sheetId="1">
        <row r="4">
          <cell r="L4" t="str">
            <v>AC/OUAGA I</v>
          </cell>
        </row>
      </sheetData>
      <sheetData sheetId="2"/>
      <sheetData sheetId="3">
        <row r="10">
          <cell r="DA10">
            <v>2814952803</v>
          </cell>
        </row>
        <row r="35">
          <cell r="I35">
            <v>0</v>
          </cell>
        </row>
        <row r="37">
          <cell r="I37">
            <v>686997569</v>
          </cell>
        </row>
        <row r="41">
          <cell r="I41">
            <v>673852682</v>
          </cell>
        </row>
      </sheetData>
      <sheetData sheetId="4"/>
      <sheetData sheetId="5"/>
      <sheetData sheetId="6"/>
      <sheetData sheetId="7"/>
      <sheetData sheetId="8">
        <row r="4">
          <cell r="L4" t="str">
            <v>AC/OUAGA I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2004"/>
      <sheetName val="Suivi Conso"/>
      <sheetName val="ARV CR01-04"/>
      <sheetName val="AntiTuberculeux CR01-04"/>
      <sheetName val="Cde Cpltaire"/>
      <sheetName val="CR01-04"/>
      <sheetName val="Attendre Autre C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 1ère Tranche"/>
      <sheetName val="Projet Budget DAL 2003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 de Cde"/>
      <sheetName val="Bon de Cde R. ROBE"/>
    </sheetNames>
    <sheetDataSet>
      <sheetData sheetId="0">
        <row r="3">
          <cell r="B3" t="str">
            <v xml:space="preserve">Quantité 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 1ère Tranche"/>
      <sheetName val="Attributaire CIF"/>
      <sheetName val="Montant CR03 frs"/>
      <sheetName val="Motant Marché Frs CR03"/>
      <sheetName val="Frs Consultés"/>
      <sheetName val="Items Infructueux"/>
      <sheetName val="Triés  &amp;  Retenus "/>
      <sheetName val="Quantité  CR03 fr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 de Cde"/>
      <sheetName val="Bon de Cde R. ROBE"/>
    </sheetNames>
    <sheetDataSet>
      <sheetData sheetId="0">
        <row r="3">
          <cell r="B3" t="str">
            <v xml:space="preserve">Quantité </v>
          </cell>
        </row>
        <row r="4">
          <cell r="B4">
            <v>100000</v>
          </cell>
        </row>
        <row r="871">
          <cell r="B871">
            <v>25</v>
          </cell>
        </row>
        <row r="872">
          <cell r="B872">
            <v>25</v>
          </cell>
        </row>
        <row r="873">
          <cell r="B873">
            <v>150</v>
          </cell>
        </row>
        <row r="874">
          <cell r="B874">
            <v>100</v>
          </cell>
        </row>
        <row r="875">
          <cell r="B875">
            <v>100</v>
          </cell>
        </row>
        <row r="876">
          <cell r="B876">
            <v>100</v>
          </cell>
        </row>
        <row r="877">
          <cell r="B877">
            <v>100</v>
          </cell>
        </row>
        <row r="878">
          <cell r="B878">
            <v>100</v>
          </cell>
        </row>
        <row r="879">
          <cell r="B879">
            <v>24100</v>
          </cell>
        </row>
        <row r="880">
          <cell r="B880">
            <v>24100</v>
          </cell>
        </row>
        <row r="881">
          <cell r="B881">
            <v>24100</v>
          </cell>
        </row>
        <row r="882">
          <cell r="B882">
            <v>24100</v>
          </cell>
        </row>
        <row r="883">
          <cell r="B883">
            <v>24100</v>
          </cell>
        </row>
        <row r="884">
          <cell r="B884">
            <v>24100</v>
          </cell>
        </row>
        <row r="885">
          <cell r="B885">
            <v>24100</v>
          </cell>
        </row>
        <row r="886">
          <cell r="B886">
            <v>24100</v>
          </cell>
        </row>
        <row r="887">
          <cell r="B887">
            <v>24100</v>
          </cell>
        </row>
        <row r="888">
          <cell r="B888">
            <v>24100</v>
          </cell>
        </row>
        <row r="889">
          <cell r="B889">
            <v>24100</v>
          </cell>
        </row>
        <row r="890">
          <cell r="B890">
            <v>11568</v>
          </cell>
        </row>
        <row r="891">
          <cell r="B891">
            <v>11568</v>
          </cell>
        </row>
        <row r="892">
          <cell r="B892">
            <v>11568</v>
          </cell>
        </row>
        <row r="893">
          <cell r="B893">
            <v>40000</v>
          </cell>
        </row>
        <row r="894">
          <cell r="B894">
            <v>40000</v>
          </cell>
        </row>
        <row r="895">
          <cell r="B895">
            <v>40000</v>
          </cell>
        </row>
        <row r="896">
          <cell r="B896">
            <v>10000</v>
          </cell>
        </row>
        <row r="897">
          <cell r="B897">
            <v>10000</v>
          </cell>
        </row>
        <row r="898">
          <cell r="B898">
            <v>10000</v>
          </cell>
        </row>
        <row r="899">
          <cell r="B899">
            <v>3500</v>
          </cell>
        </row>
        <row r="900">
          <cell r="B900">
            <v>3500</v>
          </cell>
        </row>
        <row r="901">
          <cell r="B901">
            <v>3500</v>
          </cell>
        </row>
        <row r="902">
          <cell r="B902">
            <v>3500</v>
          </cell>
        </row>
        <row r="903">
          <cell r="B903">
            <v>18000</v>
          </cell>
        </row>
        <row r="904">
          <cell r="B904">
            <v>18000</v>
          </cell>
        </row>
        <row r="905">
          <cell r="B905">
            <v>18000</v>
          </cell>
        </row>
        <row r="906">
          <cell r="B906">
            <v>18000</v>
          </cell>
        </row>
        <row r="907">
          <cell r="B907">
            <v>200</v>
          </cell>
        </row>
        <row r="908">
          <cell r="B908">
            <v>5000</v>
          </cell>
        </row>
        <row r="909">
          <cell r="B909">
            <v>5000</v>
          </cell>
        </row>
        <row r="910">
          <cell r="B910">
            <v>5000</v>
          </cell>
        </row>
        <row r="911">
          <cell r="B911">
            <v>5000</v>
          </cell>
        </row>
        <row r="912">
          <cell r="B912">
            <v>5000</v>
          </cell>
        </row>
        <row r="913">
          <cell r="B913">
            <v>2000</v>
          </cell>
        </row>
        <row r="914">
          <cell r="B914">
            <v>2000</v>
          </cell>
        </row>
        <row r="915">
          <cell r="B915">
            <v>2000</v>
          </cell>
        </row>
        <row r="916">
          <cell r="B916">
            <v>2000</v>
          </cell>
        </row>
        <row r="917">
          <cell r="B917">
            <v>2000</v>
          </cell>
        </row>
        <row r="918">
          <cell r="B918">
            <v>3000</v>
          </cell>
        </row>
        <row r="919">
          <cell r="B919">
            <v>3000</v>
          </cell>
        </row>
        <row r="920">
          <cell r="B920">
            <v>3000</v>
          </cell>
        </row>
        <row r="921">
          <cell r="B921">
            <v>3000</v>
          </cell>
        </row>
        <row r="922">
          <cell r="B922">
            <v>3000</v>
          </cell>
        </row>
        <row r="923">
          <cell r="B923">
            <v>2500</v>
          </cell>
        </row>
        <row r="924">
          <cell r="B924">
            <v>2500</v>
          </cell>
        </row>
        <row r="925">
          <cell r="B925">
            <v>2500</v>
          </cell>
        </row>
        <row r="926">
          <cell r="B926">
            <v>2500</v>
          </cell>
        </row>
        <row r="927">
          <cell r="B927">
            <v>2500</v>
          </cell>
        </row>
        <row r="928">
          <cell r="B928">
            <v>1000</v>
          </cell>
        </row>
        <row r="929">
          <cell r="B929">
            <v>1000</v>
          </cell>
        </row>
        <row r="930">
          <cell r="B930">
            <v>1000</v>
          </cell>
        </row>
        <row r="931">
          <cell r="B931">
            <v>1000</v>
          </cell>
        </row>
        <row r="932">
          <cell r="B932">
            <v>2500</v>
          </cell>
        </row>
        <row r="933">
          <cell r="B933">
            <v>2500</v>
          </cell>
        </row>
        <row r="934">
          <cell r="B934">
            <v>2500</v>
          </cell>
        </row>
        <row r="935">
          <cell r="B935">
            <v>2500</v>
          </cell>
        </row>
        <row r="936">
          <cell r="B936">
            <v>1500</v>
          </cell>
        </row>
        <row r="937">
          <cell r="B937">
            <v>1500</v>
          </cell>
        </row>
        <row r="938">
          <cell r="B938">
            <v>1500</v>
          </cell>
        </row>
        <row r="939">
          <cell r="B939">
            <v>1500</v>
          </cell>
        </row>
        <row r="940">
          <cell r="B940">
            <v>500</v>
          </cell>
        </row>
        <row r="941">
          <cell r="B941">
            <v>500</v>
          </cell>
        </row>
        <row r="942">
          <cell r="B942">
            <v>500</v>
          </cell>
        </row>
        <row r="943">
          <cell r="B943">
            <v>500</v>
          </cell>
        </row>
        <row r="944">
          <cell r="B944">
            <v>5000</v>
          </cell>
        </row>
        <row r="945">
          <cell r="B945">
            <v>5000</v>
          </cell>
        </row>
        <row r="946">
          <cell r="B946">
            <v>5000</v>
          </cell>
        </row>
        <row r="947">
          <cell r="B947">
            <v>5000</v>
          </cell>
        </row>
        <row r="948">
          <cell r="B948">
            <v>4500</v>
          </cell>
        </row>
        <row r="949">
          <cell r="B949">
            <v>1000</v>
          </cell>
        </row>
        <row r="950">
          <cell r="B950">
            <v>1000</v>
          </cell>
        </row>
        <row r="951">
          <cell r="B951">
            <v>1000</v>
          </cell>
        </row>
        <row r="952">
          <cell r="B952">
            <v>1000</v>
          </cell>
        </row>
        <row r="953">
          <cell r="B953">
            <v>1000</v>
          </cell>
        </row>
        <row r="954">
          <cell r="B954">
            <v>1000</v>
          </cell>
        </row>
        <row r="955">
          <cell r="B955">
            <v>1000</v>
          </cell>
        </row>
        <row r="956">
          <cell r="B956">
            <v>1000</v>
          </cell>
        </row>
        <row r="957">
          <cell r="B957">
            <v>1000</v>
          </cell>
        </row>
        <row r="958">
          <cell r="B958">
            <v>1000</v>
          </cell>
        </row>
        <row r="959">
          <cell r="B959">
            <v>1000</v>
          </cell>
        </row>
        <row r="960">
          <cell r="B960">
            <v>1000</v>
          </cell>
        </row>
        <row r="961">
          <cell r="B961">
            <v>1000</v>
          </cell>
        </row>
        <row r="962">
          <cell r="B962">
            <v>1000</v>
          </cell>
        </row>
        <row r="963">
          <cell r="B963">
            <v>1000</v>
          </cell>
        </row>
        <row r="964">
          <cell r="B964">
            <v>1000</v>
          </cell>
        </row>
        <row r="965">
          <cell r="B965">
            <v>1000</v>
          </cell>
        </row>
        <row r="966">
          <cell r="B966">
            <v>1000</v>
          </cell>
        </row>
        <row r="967">
          <cell r="B967">
            <v>1000</v>
          </cell>
        </row>
        <row r="968">
          <cell r="B968">
            <v>1000</v>
          </cell>
        </row>
        <row r="969">
          <cell r="B969">
            <v>10</v>
          </cell>
        </row>
        <row r="970">
          <cell r="B970">
            <v>10</v>
          </cell>
        </row>
        <row r="971">
          <cell r="B971">
            <v>10</v>
          </cell>
        </row>
        <row r="972">
          <cell r="B972">
            <v>10</v>
          </cell>
        </row>
        <row r="973">
          <cell r="B973">
            <v>10</v>
          </cell>
        </row>
        <row r="974">
          <cell r="B974">
            <v>10</v>
          </cell>
        </row>
        <row r="975">
          <cell r="B975">
            <v>10</v>
          </cell>
        </row>
        <row r="976">
          <cell r="B976">
            <v>3000</v>
          </cell>
        </row>
        <row r="977">
          <cell r="B977">
            <v>3000</v>
          </cell>
        </row>
        <row r="978">
          <cell r="B978">
            <v>10</v>
          </cell>
        </row>
        <row r="979">
          <cell r="B979">
            <v>20</v>
          </cell>
        </row>
        <row r="980">
          <cell r="B980">
            <v>5000</v>
          </cell>
        </row>
        <row r="981">
          <cell r="B981">
            <v>20</v>
          </cell>
        </row>
        <row r="982">
          <cell r="B982">
            <v>20</v>
          </cell>
        </row>
        <row r="983">
          <cell r="B983">
            <v>10</v>
          </cell>
        </row>
        <row r="984">
          <cell r="B984">
            <v>2000</v>
          </cell>
        </row>
        <row r="985">
          <cell r="B985">
            <v>1000</v>
          </cell>
        </row>
        <row r="986">
          <cell r="B986">
            <v>20</v>
          </cell>
        </row>
        <row r="987">
          <cell r="B987">
            <v>10</v>
          </cell>
        </row>
        <row r="988">
          <cell r="B988">
            <v>10</v>
          </cell>
        </row>
        <row r="989">
          <cell r="B989">
            <v>10303000</v>
          </cell>
        </row>
        <row r="990">
          <cell r="B990">
            <v>72300</v>
          </cell>
        </row>
        <row r="991">
          <cell r="B991">
            <v>31486000</v>
          </cell>
        </row>
        <row r="992">
          <cell r="B992">
            <v>31486000</v>
          </cell>
        </row>
        <row r="993">
          <cell r="B993">
            <v>34000</v>
          </cell>
        </row>
        <row r="994">
          <cell r="B994">
            <v>1222000</v>
          </cell>
        </row>
        <row r="995">
          <cell r="B995">
            <v>129100</v>
          </cell>
        </row>
        <row r="996">
          <cell r="B996">
            <v>9500</v>
          </cell>
        </row>
        <row r="997">
          <cell r="B997">
            <v>9500</v>
          </cell>
        </row>
        <row r="998">
          <cell r="B998">
            <v>20700</v>
          </cell>
        </row>
        <row r="999">
          <cell r="B999">
            <v>20700</v>
          </cell>
        </row>
        <row r="1000">
          <cell r="B1000">
            <v>49400</v>
          </cell>
        </row>
        <row r="1001">
          <cell r="B1001">
            <v>4248000</v>
          </cell>
        </row>
        <row r="1002">
          <cell r="B1002">
            <v>4248000</v>
          </cell>
        </row>
        <row r="1003">
          <cell r="B1003">
            <v>4248000</v>
          </cell>
        </row>
        <row r="1004">
          <cell r="B1004">
            <v>2706000</v>
          </cell>
        </row>
        <row r="1005">
          <cell r="B1005">
            <v>2706000</v>
          </cell>
        </row>
        <row r="1006">
          <cell r="B1006">
            <v>2706000</v>
          </cell>
        </row>
        <row r="1007">
          <cell r="B1007">
            <v>9600</v>
          </cell>
        </row>
        <row r="1008">
          <cell r="B1008">
            <v>46900</v>
          </cell>
        </row>
        <row r="1009">
          <cell r="B1009">
            <v>1518000</v>
          </cell>
        </row>
        <row r="1010">
          <cell r="B1010">
            <v>1518000</v>
          </cell>
        </row>
        <row r="1011">
          <cell r="B1011">
            <v>17600</v>
          </cell>
        </row>
        <row r="1012">
          <cell r="B1012">
            <v>477000</v>
          </cell>
        </row>
        <row r="1013">
          <cell r="B1013">
            <v>399000</v>
          </cell>
        </row>
        <row r="1014">
          <cell r="B1014">
            <v>93000</v>
          </cell>
        </row>
        <row r="1015">
          <cell r="B1015">
            <v>184000</v>
          </cell>
        </row>
        <row r="1016">
          <cell r="B1016">
            <v>16800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2004"/>
      <sheetName val="Suivi Conso"/>
      <sheetName val="ARV CR01-04"/>
      <sheetName val="AntiTuberculeux CR01-04"/>
      <sheetName val="Cde Cpltaire"/>
      <sheetName val="CR01-04"/>
      <sheetName val="Attendre Autre CR"/>
      <sheetName val="PARC AUT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2004"/>
      <sheetName val="Suivi Conso"/>
      <sheetName val="ARV CR01-04"/>
      <sheetName val="AntiTuberculeux CR01-04"/>
      <sheetName val="Cde Cpltaire"/>
      <sheetName val="CR01-04"/>
      <sheetName val="Attendre Autre CR"/>
      <sheetName val="PARC AUT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endre"/>
      <sheetName val="CR à faire"/>
      <sheetName val="Cdes Cpltaires à Passer"/>
      <sheetName val="Bon de Cde "/>
      <sheetName val="Etat Recap"/>
      <sheetName val="Etat des Quantités"/>
      <sheetName val="Etat des Qtités Cde Client"/>
      <sheetName val="DR DOMO"/>
      <sheetName val="CR03_2001 Périodici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DAL 2004"/>
      <sheetName val="PB04 cameg"/>
      <sheetName val="Projet Budget DAL 2003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endre"/>
      <sheetName val="CR à faire"/>
      <sheetName val="Cdes Cpltaires à Passer"/>
      <sheetName val="Bon de Cde "/>
      <sheetName val="Etat Recap"/>
      <sheetName val="Etat des Quantités"/>
      <sheetName val="Etat des Qtités Cde Client"/>
      <sheetName val="DR DOMO"/>
      <sheetName val="CR03_2001 Périodici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UATTARA Oula Sidiki Ahmed" id="{1229208C-82E1-4A93-99EF-4368E63795DB}" userId="S::souattara@cameg.bf::072b7c55-30d9-4c86-a09a-7aacb93a0f3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6-01-21T17:11:25.69" personId="{1229208C-82E1-4A93-99EF-4368E63795DB}" id="{6620627D-7CC0-4DB7-AE1C-90E4D2D7BE31}">
    <text>300x40000=12 000 000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2793-8D14-409D-9777-45566BDD4688}">
  <dimension ref="A1:X92"/>
  <sheetViews>
    <sheetView tabSelected="1" topLeftCell="B83" zoomScale="90" zoomScaleNormal="90" workbookViewId="0">
      <selection activeCell="H89" sqref="H89:S91"/>
    </sheetView>
  </sheetViews>
  <sheetFormatPr baseColWidth="10" defaultColWidth="11.453125" defaultRowHeight="14.5" x14ac:dyDescent="0.35"/>
  <cols>
    <col min="1" max="1" width="11.453125" style="30"/>
    <col min="2" max="2" width="4.1796875" style="49" customWidth="1"/>
    <col min="3" max="3" width="8.1796875" style="54" customWidth="1"/>
    <col min="4" max="4" width="10.54296875" style="50" customWidth="1"/>
    <col min="5" max="5" width="15.54296875" style="51" customWidth="1"/>
    <col min="6" max="6" width="13.453125" style="52" hidden="1" customWidth="1"/>
    <col min="7" max="7" width="14.453125" style="51" hidden="1" customWidth="1"/>
    <col min="8" max="8" width="13.7265625" style="51" customWidth="1"/>
    <col min="9" max="9" width="14.453125" style="51" customWidth="1"/>
    <col min="10" max="10" width="29.453125" style="73" customWidth="1"/>
    <col min="11" max="11" width="7.7265625" style="69" customWidth="1"/>
    <col min="12" max="12" width="8" style="69" customWidth="1"/>
    <col min="13" max="13" width="9.81640625" style="70" customWidth="1"/>
    <col min="14" max="14" width="9.7265625" style="70" customWidth="1"/>
    <col min="15" max="15" width="8.54296875" style="50" customWidth="1"/>
    <col min="16" max="16" width="10.26953125" style="50" customWidth="1"/>
    <col min="17" max="17" width="17.7265625" style="30" hidden="1" customWidth="1"/>
    <col min="18" max="18" width="6.453125" style="50" customWidth="1"/>
    <col min="19" max="19" width="10.1796875" style="50" customWidth="1"/>
    <col min="20" max="21" width="0" style="30" hidden="1" customWidth="1"/>
    <col min="22" max="22" width="14.1796875" style="30" hidden="1" customWidth="1"/>
    <col min="23" max="23" width="0" style="30" hidden="1" customWidth="1"/>
    <col min="24" max="24" width="68.54296875" style="55" hidden="1" customWidth="1"/>
    <col min="25" max="16384" width="11.453125" style="30"/>
  </cols>
  <sheetData>
    <row r="1" spans="1:24" x14ac:dyDescent="0.35">
      <c r="F1" s="71"/>
    </row>
    <row r="2" spans="1:24" x14ac:dyDescent="0.35">
      <c r="F2" s="71"/>
    </row>
    <row r="3" spans="1:24" x14ac:dyDescent="0.35">
      <c r="F3" s="71"/>
    </row>
    <row r="4" spans="1:24" x14ac:dyDescent="0.35">
      <c r="F4" s="71"/>
    </row>
    <row r="5" spans="1:24" ht="15" x14ac:dyDescent="0.35">
      <c r="B5" s="74"/>
      <c r="C5" s="75"/>
      <c r="D5" s="157" t="s">
        <v>168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</row>
    <row r="6" spans="1:24" ht="15" thickBot="1" x14ac:dyDescent="0.4">
      <c r="B6" s="74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4" ht="96" customHeight="1" thickTop="1" thickBot="1" x14ac:dyDescent="0.4">
      <c r="B7" s="76" t="s">
        <v>16</v>
      </c>
      <c r="C7" s="77" t="s">
        <v>50</v>
      </c>
      <c r="D7" s="78" t="s">
        <v>51</v>
      </c>
      <c r="E7" s="79" t="s">
        <v>52</v>
      </c>
      <c r="F7" s="79" t="s">
        <v>53</v>
      </c>
      <c r="G7" s="79" t="s">
        <v>54</v>
      </c>
      <c r="H7" s="79" t="s">
        <v>55</v>
      </c>
      <c r="I7" s="79" t="s">
        <v>87</v>
      </c>
      <c r="J7" s="78" t="s">
        <v>33</v>
      </c>
      <c r="K7" s="79" t="s">
        <v>17</v>
      </c>
      <c r="L7" s="78" t="s">
        <v>56</v>
      </c>
      <c r="M7" s="78" t="s">
        <v>57</v>
      </c>
      <c r="N7" s="78" t="s">
        <v>58</v>
      </c>
      <c r="O7" s="77" t="s">
        <v>59</v>
      </c>
      <c r="P7" s="78" t="s">
        <v>34</v>
      </c>
      <c r="Q7" s="78" t="s">
        <v>34</v>
      </c>
      <c r="R7" s="77" t="s">
        <v>35</v>
      </c>
      <c r="S7" s="78" t="s">
        <v>60</v>
      </c>
      <c r="T7" s="26" t="s">
        <v>36</v>
      </c>
      <c r="U7" s="27" t="s">
        <v>37</v>
      </c>
      <c r="V7" s="28">
        <f>AVERAGE(V9:V86)</f>
        <v>0.1786764705882353</v>
      </c>
      <c r="W7" s="29" t="s">
        <v>38</v>
      </c>
    </row>
    <row r="8" spans="1:24" s="34" customFormat="1" ht="27" customHeight="1" thickTop="1" thickBot="1" x14ac:dyDescent="0.4">
      <c r="A8" s="72"/>
      <c r="B8" s="80"/>
      <c r="C8" s="159" t="s">
        <v>61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56"/>
      <c r="U8" s="31"/>
      <c r="V8" s="32"/>
      <c r="W8" s="33"/>
      <c r="X8" s="57"/>
    </row>
    <row r="9" spans="1:24" s="60" customFormat="1" ht="54" customHeight="1" thickTop="1" thickBot="1" x14ac:dyDescent="0.4">
      <c r="A9" s="103"/>
      <c r="B9" s="82">
        <v>1</v>
      </c>
      <c r="C9" s="81" t="s">
        <v>62</v>
      </c>
      <c r="D9" s="82">
        <v>2100000</v>
      </c>
      <c r="E9" s="83">
        <v>1100000000</v>
      </c>
      <c r="F9" s="84"/>
      <c r="G9" s="83"/>
      <c r="H9" s="83">
        <f>+E9</f>
        <v>1100000000</v>
      </c>
      <c r="I9" s="83">
        <f>+H9*1.18</f>
        <v>1298000000</v>
      </c>
      <c r="J9" s="81" t="s">
        <v>138</v>
      </c>
      <c r="K9" s="84" t="s">
        <v>4</v>
      </c>
      <c r="L9" s="84" t="s">
        <v>63</v>
      </c>
      <c r="M9" s="85">
        <v>46152</v>
      </c>
      <c r="N9" s="85">
        <f>M9+30</f>
        <v>46182</v>
      </c>
      <c r="O9" s="82">
        <v>6</v>
      </c>
      <c r="P9" s="85">
        <f>N9+21</f>
        <v>46203</v>
      </c>
      <c r="Q9" s="86"/>
      <c r="R9" s="82">
        <v>180</v>
      </c>
      <c r="S9" s="85">
        <f>P9+R9</f>
        <v>46383</v>
      </c>
      <c r="T9" s="35" t="s">
        <v>18</v>
      </c>
      <c r="U9" s="36" t="s">
        <v>39</v>
      </c>
      <c r="V9" s="68">
        <v>0</v>
      </c>
      <c r="W9" s="36"/>
      <c r="X9" s="59" t="s">
        <v>64</v>
      </c>
    </row>
    <row r="10" spans="1:24" s="60" customFormat="1" ht="66" customHeight="1" thickTop="1" thickBot="1" x14ac:dyDescent="0.4">
      <c r="A10" s="103"/>
      <c r="B10" s="82">
        <v>2</v>
      </c>
      <c r="C10" s="81" t="s">
        <v>62</v>
      </c>
      <c r="D10" s="82">
        <v>2100000</v>
      </c>
      <c r="E10" s="83">
        <v>90000000</v>
      </c>
      <c r="F10" s="84"/>
      <c r="G10" s="83"/>
      <c r="H10" s="83">
        <f t="shared" ref="H10:H28" si="0">+E10</f>
        <v>90000000</v>
      </c>
      <c r="I10" s="83">
        <f>+H10*1.18</f>
        <v>106200000</v>
      </c>
      <c r="J10" s="81" t="s">
        <v>158</v>
      </c>
      <c r="K10" s="84" t="s">
        <v>131</v>
      </c>
      <c r="L10" s="84" t="s">
        <v>63</v>
      </c>
      <c r="M10" s="85">
        <v>46152</v>
      </c>
      <c r="N10" s="85">
        <f>M10+30</f>
        <v>46182</v>
      </c>
      <c r="O10" s="82">
        <v>6</v>
      </c>
      <c r="P10" s="85">
        <f>N10+21</f>
        <v>46203</v>
      </c>
      <c r="Q10" s="86"/>
      <c r="R10" s="82">
        <v>200</v>
      </c>
      <c r="S10" s="85">
        <f>P10+R10</f>
        <v>46403</v>
      </c>
      <c r="T10" s="35" t="s">
        <v>18</v>
      </c>
      <c r="U10" s="36" t="s">
        <v>39</v>
      </c>
      <c r="V10" s="68">
        <v>0</v>
      </c>
      <c r="W10" s="36"/>
      <c r="X10" s="59" t="s">
        <v>64</v>
      </c>
    </row>
    <row r="11" spans="1:24" s="60" customFormat="1" ht="54.75" customHeight="1" thickTop="1" thickBot="1" x14ac:dyDescent="0.4">
      <c r="A11" s="103"/>
      <c r="B11" s="82">
        <v>3</v>
      </c>
      <c r="C11" s="81" t="s">
        <v>62</v>
      </c>
      <c r="D11" s="82">
        <v>2320000</v>
      </c>
      <c r="E11" s="87">
        <v>45000000</v>
      </c>
      <c r="F11" s="88"/>
      <c r="G11" s="83"/>
      <c r="H11" s="83">
        <f t="shared" si="0"/>
        <v>45000000</v>
      </c>
      <c r="I11" s="83">
        <f t="shared" ref="I11:I29" si="1">+H11*1.18</f>
        <v>53100000</v>
      </c>
      <c r="J11" s="89" t="s">
        <v>121</v>
      </c>
      <c r="K11" s="88" t="s">
        <v>43</v>
      </c>
      <c r="L11" s="105" t="s">
        <v>65</v>
      </c>
      <c r="M11" s="90">
        <v>46198</v>
      </c>
      <c r="N11" s="90">
        <f t="shared" ref="N11:N12" si="2">+M11+3</f>
        <v>46201</v>
      </c>
      <c r="O11" s="91">
        <v>3</v>
      </c>
      <c r="P11" s="92">
        <f t="shared" ref="P11:P12" si="3">+N11+21</f>
        <v>46222</v>
      </c>
      <c r="Q11" s="93"/>
      <c r="R11" s="94">
        <v>60</v>
      </c>
      <c r="S11" s="92">
        <f t="shared" ref="S11:S12" si="4">+P11+R11</f>
        <v>46282</v>
      </c>
      <c r="T11" s="37" t="s">
        <v>44</v>
      </c>
      <c r="U11" s="38" t="s">
        <v>41</v>
      </c>
      <c r="V11" s="39">
        <v>0</v>
      </c>
      <c r="W11" s="38"/>
      <c r="X11" s="59"/>
    </row>
    <row r="12" spans="1:24" s="60" customFormat="1" ht="54.75" customHeight="1" thickTop="1" thickBot="1" x14ac:dyDescent="0.4">
      <c r="A12" s="103"/>
      <c r="B12" s="82">
        <v>4</v>
      </c>
      <c r="C12" s="81" t="s">
        <v>62</v>
      </c>
      <c r="D12" s="82">
        <v>2320000</v>
      </c>
      <c r="E12" s="87">
        <v>5000000</v>
      </c>
      <c r="F12" s="88"/>
      <c r="G12" s="83"/>
      <c r="H12" s="83">
        <f t="shared" si="0"/>
        <v>5000000</v>
      </c>
      <c r="I12" s="83">
        <f t="shared" si="1"/>
        <v>5900000</v>
      </c>
      <c r="J12" s="89" t="s">
        <v>122</v>
      </c>
      <c r="K12" s="88" t="s">
        <v>20</v>
      </c>
      <c r="L12" s="105" t="s">
        <v>65</v>
      </c>
      <c r="M12" s="90">
        <v>46096</v>
      </c>
      <c r="N12" s="90">
        <f t="shared" si="2"/>
        <v>46099</v>
      </c>
      <c r="O12" s="91">
        <v>3</v>
      </c>
      <c r="P12" s="92">
        <f t="shared" si="3"/>
        <v>46120</v>
      </c>
      <c r="Q12" s="93"/>
      <c r="R12" s="94">
        <v>30</v>
      </c>
      <c r="S12" s="92">
        <f t="shared" si="4"/>
        <v>46150</v>
      </c>
      <c r="T12" s="37" t="s">
        <v>44</v>
      </c>
      <c r="U12" s="38" t="s">
        <v>41</v>
      </c>
      <c r="V12" s="39">
        <v>0</v>
      </c>
      <c r="W12" s="38"/>
      <c r="X12" s="59"/>
    </row>
    <row r="13" spans="1:24" s="62" customFormat="1" ht="73.5" customHeight="1" thickTop="1" thickBot="1" x14ac:dyDescent="0.4">
      <c r="A13" s="67"/>
      <c r="B13" s="82">
        <v>5</v>
      </c>
      <c r="C13" s="95" t="s">
        <v>62</v>
      </c>
      <c r="D13" s="91">
        <v>2320000</v>
      </c>
      <c r="E13" s="96">
        <f>5000000+1500000+1000000+1500000</f>
        <v>9000000</v>
      </c>
      <c r="F13" s="97"/>
      <c r="G13" s="96"/>
      <c r="H13" s="96">
        <f t="shared" si="0"/>
        <v>9000000</v>
      </c>
      <c r="I13" s="96">
        <f t="shared" si="1"/>
        <v>10620000</v>
      </c>
      <c r="J13" s="95" t="s">
        <v>154</v>
      </c>
      <c r="K13" s="97" t="s">
        <v>67</v>
      </c>
      <c r="L13" s="106" t="s">
        <v>65</v>
      </c>
      <c r="M13" s="90">
        <v>46058</v>
      </c>
      <c r="N13" s="90">
        <f>+M13+3</f>
        <v>46061</v>
      </c>
      <c r="O13" s="91">
        <v>3</v>
      </c>
      <c r="P13" s="90">
        <f>+N13+21</f>
        <v>46082</v>
      </c>
      <c r="Q13" s="99"/>
      <c r="R13" s="91">
        <v>30</v>
      </c>
      <c r="S13" s="90">
        <f>+P13+R13</f>
        <v>46112</v>
      </c>
      <c r="T13" s="42" t="s">
        <v>44</v>
      </c>
      <c r="U13" s="43" t="s">
        <v>41</v>
      </c>
      <c r="V13" s="45">
        <v>0</v>
      </c>
      <c r="W13" s="43"/>
      <c r="X13" s="61"/>
    </row>
    <row r="14" spans="1:24" s="62" customFormat="1" ht="61.5" customHeight="1" thickTop="1" thickBot="1" x14ac:dyDescent="0.4">
      <c r="A14" s="67"/>
      <c r="B14" s="82">
        <v>6</v>
      </c>
      <c r="C14" s="95" t="s">
        <v>62</v>
      </c>
      <c r="D14" s="91">
        <v>2320000</v>
      </c>
      <c r="E14" s="96">
        <v>33500000</v>
      </c>
      <c r="F14" s="97"/>
      <c r="G14" s="96"/>
      <c r="H14" s="96">
        <f t="shared" si="0"/>
        <v>33500000</v>
      </c>
      <c r="I14" s="96">
        <f t="shared" si="1"/>
        <v>39530000</v>
      </c>
      <c r="J14" s="95" t="s">
        <v>139</v>
      </c>
      <c r="K14" s="97" t="s">
        <v>43</v>
      </c>
      <c r="L14" s="106" t="s">
        <v>65</v>
      </c>
      <c r="M14" s="90">
        <v>46112</v>
      </c>
      <c r="N14" s="90">
        <f t="shared" ref="N14:N20" si="5">+M14+3</f>
        <v>46115</v>
      </c>
      <c r="O14" s="91">
        <v>3</v>
      </c>
      <c r="P14" s="90">
        <f t="shared" ref="P14:P20" si="6">+N14+21</f>
        <v>46136</v>
      </c>
      <c r="Q14" s="99"/>
      <c r="R14" s="91">
        <v>30</v>
      </c>
      <c r="S14" s="90">
        <f t="shared" ref="S14:S20" si="7">+P14+R14</f>
        <v>46166</v>
      </c>
      <c r="T14" s="42" t="s">
        <v>44</v>
      </c>
      <c r="U14" s="43" t="s">
        <v>41</v>
      </c>
      <c r="V14" s="45">
        <v>0</v>
      </c>
      <c r="W14" s="43"/>
      <c r="X14" s="61"/>
    </row>
    <row r="15" spans="1:24" s="62" customFormat="1" ht="54.75" customHeight="1" thickTop="1" thickBot="1" x14ac:dyDescent="0.4">
      <c r="A15" s="67"/>
      <c r="B15" s="82">
        <v>7</v>
      </c>
      <c r="C15" s="95" t="s">
        <v>62</v>
      </c>
      <c r="D15" s="91">
        <v>2320000</v>
      </c>
      <c r="E15" s="96">
        <v>30000000</v>
      </c>
      <c r="F15" s="97"/>
      <c r="G15" s="96"/>
      <c r="H15" s="96">
        <f t="shared" si="0"/>
        <v>30000000</v>
      </c>
      <c r="I15" s="96">
        <f t="shared" si="1"/>
        <v>35400000</v>
      </c>
      <c r="J15" s="95" t="s">
        <v>123</v>
      </c>
      <c r="K15" s="97" t="s">
        <v>43</v>
      </c>
      <c r="L15" s="106" t="s">
        <v>65</v>
      </c>
      <c r="M15" s="90">
        <v>46088</v>
      </c>
      <c r="N15" s="90">
        <f t="shared" si="5"/>
        <v>46091</v>
      </c>
      <c r="O15" s="91">
        <v>3</v>
      </c>
      <c r="P15" s="92">
        <f t="shared" si="6"/>
        <v>46112</v>
      </c>
      <c r="Q15" s="99"/>
      <c r="R15" s="94">
        <v>45</v>
      </c>
      <c r="S15" s="92">
        <f t="shared" si="7"/>
        <v>46157</v>
      </c>
      <c r="T15" s="42" t="s">
        <v>44</v>
      </c>
      <c r="U15" s="43" t="s">
        <v>41</v>
      </c>
      <c r="V15" s="45">
        <v>0</v>
      </c>
      <c r="W15" s="43"/>
      <c r="X15" s="61"/>
    </row>
    <row r="16" spans="1:24" s="62" customFormat="1" ht="54.75" customHeight="1" thickTop="1" thickBot="1" x14ac:dyDescent="0.4">
      <c r="A16" s="67"/>
      <c r="B16" s="82">
        <v>8</v>
      </c>
      <c r="C16" s="95" t="s">
        <v>62</v>
      </c>
      <c r="D16" s="91">
        <v>2320000</v>
      </c>
      <c r="E16" s="96">
        <v>70000000</v>
      </c>
      <c r="F16" s="97"/>
      <c r="G16" s="96"/>
      <c r="H16" s="96">
        <f t="shared" si="0"/>
        <v>70000000</v>
      </c>
      <c r="I16" s="96">
        <f t="shared" si="1"/>
        <v>82600000</v>
      </c>
      <c r="J16" s="95" t="s">
        <v>167</v>
      </c>
      <c r="K16" s="97" t="s">
        <v>43</v>
      </c>
      <c r="L16" s="106" t="s">
        <v>65</v>
      </c>
      <c r="M16" s="90">
        <v>46167</v>
      </c>
      <c r="N16" s="90">
        <f t="shared" si="5"/>
        <v>46170</v>
      </c>
      <c r="O16" s="91">
        <v>3</v>
      </c>
      <c r="P16" s="92">
        <f t="shared" si="6"/>
        <v>46191</v>
      </c>
      <c r="Q16" s="99"/>
      <c r="R16" s="94">
        <v>45</v>
      </c>
      <c r="S16" s="92">
        <f t="shared" si="7"/>
        <v>46236</v>
      </c>
      <c r="T16" s="42" t="s">
        <v>44</v>
      </c>
      <c r="U16" s="43" t="s">
        <v>41</v>
      </c>
      <c r="V16" s="45">
        <v>0</v>
      </c>
      <c r="W16" s="43"/>
      <c r="X16" s="61"/>
    </row>
    <row r="17" spans="1:24" s="62" customFormat="1" ht="61.5" customHeight="1" thickTop="1" thickBot="1" x14ac:dyDescent="0.4">
      <c r="A17" s="67"/>
      <c r="B17" s="82">
        <v>9</v>
      </c>
      <c r="C17" s="95" t="s">
        <v>62</v>
      </c>
      <c r="D17" s="91">
        <v>2320000</v>
      </c>
      <c r="E17" s="96">
        <v>6000000</v>
      </c>
      <c r="F17" s="97"/>
      <c r="G17" s="96"/>
      <c r="H17" s="96">
        <f t="shared" si="0"/>
        <v>6000000</v>
      </c>
      <c r="I17" s="96">
        <f t="shared" si="1"/>
        <v>7080000</v>
      </c>
      <c r="J17" s="95" t="s">
        <v>124</v>
      </c>
      <c r="K17" s="97" t="s">
        <v>20</v>
      </c>
      <c r="L17" s="106" t="s">
        <v>65</v>
      </c>
      <c r="M17" s="90">
        <v>46096</v>
      </c>
      <c r="N17" s="90">
        <f t="shared" si="5"/>
        <v>46099</v>
      </c>
      <c r="O17" s="91">
        <v>3</v>
      </c>
      <c r="P17" s="92">
        <f t="shared" si="6"/>
        <v>46120</v>
      </c>
      <c r="Q17" s="99"/>
      <c r="R17" s="94">
        <v>30</v>
      </c>
      <c r="S17" s="92">
        <f t="shared" si="7"/>
        <v>46150</v>
      </c>
      <c r="T17" s="42" t="s">
        <v>44</v>
      </c>
      <c r="U17" s="43" t="s">
        <v>41</v>
      </c>
      <c r="V17" s="45">
        <v>0</v>
      </c>
      <c r="W17" s="43"/>
      <c r="X17" s="61"/>
    </row>
    <row r="18" spans="1:24" s="62" customFormat="1" ht="58.5" customHeight="1" thickTop="1" thickBot="1" x14ac:dyDescent="0.4">
      <c r="A18" s="67"/>
      <c r="B18" s="82">
        <v>10</v>
      </c>
      <c r="C18" s="95" t="s">
        <v>62</v>
      </c>
      <c r="D18" s="91">
        <v>2320000</v>
      </c>
      <c r="E18" s="96">
        <v>4000000</v>
      </c>
      <c r="F18" s="97"/>
      <c r="G18" s="96"/>
      <c r="H18" s="96">
        <f t="shared" si="0"/>
        <v>4000000</v>
      </c>
      <c r="I18" s="96">
        <f t="shared" si="1"/>
        <v>4720000</v>
      </c>
      <c r="J18" s="95" t="s">
        <v>125</v>
      </c>
      <c r="K18" s="97" t="s">
        <v>20</v>
      </c>
      <c r="L18" s="106" t="s">
        <v>65</v>
      </c>
      <c r="M18" s="90">
        <v>46122</v>
      </c>
      <c r="N18" s="90">
        <f t="shared" si="5"/>
        <v>46125</v>
      </c>
      <c r="O18" s="91">
        <v>3</v>
      </c>
      <c r="P18" s="92">
        <v>46184</v>
      </c>
      <c r="Q18" s="99"/>
      <c r="R18" s="94">
        <v>60</v>
      </c>
      <c r="S18" s="92">
        <f t="shared" si="7"/>
        <v>46244</v>
      </c>
      <c r="T18" s="42" t="s">
        <v>44</v>
      </c>
      <c r="U18" s="43" t="s">
        <v>41</v>
      </c>
      <c r="V18" s="45">
        <v>0</v>
      </c>
      <c r="W18" s="43"/>
      <c r="X18" s="61"/>
    </row>
    <row r="19" spans="1:24" s="62" customFormat="1" ht="58.5" customHeight="1" thickTop="1" thickBot="1" x14ac:dyDescent="0.4">
      <c r="A19" s="67"/>
      <c r="B19" s="82">
        <v>11</v>
      </c>
      <c r="C19" s="95" t="s">
        <v>62</v>
      </c>
      <c r="D19" s="91">
        <v>2320000</v>
      </c>
      <c r="E19" s="96">
        <v>20000000</v>
      </c>
      <c r="F19" s="97"/>
      <c r="G19" s="96"/>
      <c r="H19" s="96">
        <f t="shared" si="0"/>
        <v>20000000</v>
      </c>
      <c r="I19" s="96">
        <f t="shared" si="1"/>
        <v>23600000</v>
      </c>
      <c r="J19" s="95" t="s">
        <v>126</v>
      </c>
      <c r="K19" s="97" t="s">
        <v>3</v>
      </c>
      <c r="L19" s="106" t="s">
        <v>65</v>
      </c>
      <c r="M19" s="90">
        <v>46132</v>
      </c>
      <c r="N19" s="90">
        <f t="shared" si="5"/>
        <v>46135</v>
      </c>
      <c r="O19" s="91">
        <v>3</v>
      </c>
      <c r="P19" s="90">
        <f t="shared" si="6"/>
        <v>46156</v>
      </c>
      <c r="Q19" s="99"/>
      <c r="R19" s="91">
        <v>30</v>
      </c>
      <c r="S19" s="90">
        <f t="shared" si="7"/>
        <v>46186</v>
      </c>
      <c r="T19" s="42" t="s">
        <v>44</v>
      </c>
      <c r="U19" s="43" t="s">
        <v>41</v>
      </c>
      <c r="V19" s="45">
        <v>0</v>
      </c>
      <c r="W19" s="43"/>
      <c r="X19" s="61"/>
    </row>
    <row r="20" spans="1:24" s="62" customFormat="1" ht="48.75" customHeight="1" thickTop="1" thickBot="1" x14ac:dyDescent="0.4">
      <c r="A20" s="67"/>
      <c r="B20" s="82">
        <v>12</v>
      </c>
      <c r="C20" s="95" t="s">
        <v>62</v>
      </c>
      <c r="D20" s="91">
        <v>2410000</v>
      </c>
      <c r="E20" s="96">
        <v>50000000</v>
      </c>
      <c r="F20" s="97"/>
      <c r="G20" s="96"/>
      <c r="H20" s="96">
        <f t="shared" si="0"/>
        <v>50000000</v>
      </c>
      <c r="I20" s="96">
        <f t="shared" si="1"/>
        <v>59000000</v>
      </c>
      <c r="J20" s="95" t="s">
        <v>170</v>
      </c>
      <c r="K20" s="97" t="s">
        <v>3</v>
      </c>
      <c r="L20" s="106" t="s">
        <v>65</v>
      </c>
      <c r="M20" s="90">
        <v>46132</v>
      </c>
      <c r="N20" s="90">
        <f t="shared" si="5"/>
        <v>46135</v>
      </c>
      <c r="O20" s="91">
        <v>3</v>
      </c>
      <c r="P20" s="90">
        <f t="shared" si="6"/>
        <v>46156</v>
      </c>
      <c r="Q20" s="99"/>
      <c r="R20" s="91">
        <v>45</v>
      </c>
      <c r="S20" s="90">
        <f t="shared" si="7"/>
        <v>46201</v>
      </c>
      <c r="T20" s="42" t="s">
        <v>44</v>
      </c>
      <c r="U20" s="43" t="s">
        <v>41</v>
      </c>
      <c r="V20" s="45">
        <v>0</v>
      </c>
      <c r="W20" s="43"/>
      <c r="X20" s="61"/>
    </row>
    <row r="21" spans="1:24" s="155" customFormat="1" ht="58.5" customHeight="1" thickTop="1" thickBot="1" x14ac:dyDescent="0.4">
      <c r="A21" s="148"/>
      <c r="B21" s="149">
        <v>13</v>
      </c>
      <c r="C21" s="150" t="s">
        <v>62</v>
      </c>
      <c r="D21" s="149">
        <v>2410000</v>
      </c>
      <c r="E21" s="151">
        <v>7500000</v>
      </c>
      <c r="F21" s="97"/>
      <c r="G21" s="96"/>
      <c r="H21" s="151">
        <f t="shared" si="0"/>
        <v>7500000</v>
      </c>
      <c r="I21" s="151">
        <f t="shared" si="1"/>
        <v>8850000</v>
      </c>
      <c r="J21" s="150" t="s">
        <v>127</v>
      </c>
      <c r="K21" s="152" t="s">
        <v>67</v>
      </c>
      <c r="L21" s="153" t="s">
        <v>65</v>
      </c>
      <c r="M21" s="154">
        <v>46079</v>
      </c>
      <c r="N21" s="154">
        <f>+M21+3</f>
        <v>46082</v>
      </c>
      <c r="O21" s="149">
        <v>3</v>
      </c>
      <c r="P21" s="154">
        <f>+N21+21</f>
        <v>46103</v>
      </c>
      <c r="Q21" s="99"/>
      <c r="R21" s="149">
        <v>30</v>
      </c>
      <c r="S21" s="154">
        <f>+P21+R21</f>
        <v>46133</v>
      </c>
      <c r="T21" s="42" t="s">
        <v>44</v>
      </c>
      <c r="U21" s="43" t="s">
        <v>41</v>
      </c>
      <c r="V21" s="45">
        <v>0</v>
      </c>
      <c r="W21" s="43"/>
      <c r="X21" s="61"/>
    </row>
    <row r="22" spans="1:24" s="62" customFormat="1" ht="58.5" customHeight="1" thickTop="1" thickBot="1" x14ac:dyDescent="0.4">
      <c r="A22" s="67"/>
      <c r="B22" s="82">
        <v>14</v>
      </c>
      <c r="C22" s="95" t="s">
        <v>62</v>
      </c>
      <c r="D22" s="91">
        <v>2410000</v>
      </c>
      <c r="E22" s="96">
        <v>200000000</v>
      </c>
      <c r="F22" s="97"/>
      <c r="G22" s="96"/>
      <c r="H22" s="96">
        <f t="shared" si="0"/>
        <v>200000000</v>
      </c>
      <c r="I22" s="96">
        <f t="shared" si="1"/>
        <v>236000000</v>
      </c>
      <c r="J22" s="95" t="s">
        <v>128</v>
      </c>
      <c r="K22" s="97" t="s">
        <v>4</v>
      </c>
      <c r="L22" s="106" t="s">
        <v>65</v>
      </c>
      <c r="M22" s="90">
        <v>46068</v>
      </c>
      <c r="N22" s="90">
        <f>M22+30</f>
        <v>46098</v>
      </c>
      <c r="O22" s="91">
        <v>6</v>
      </c>
      <c r="P22" s="90">
        <f>N22+21</f>
        <v>46119</v>
      </c>
      <c r="Q22" s="99"/>
      <c r="R22" s="91">
        <v>70</v>
      </c>
      <c r="S22" s="90">
        <f>P22+R22</f>
        <v>46189</v>
      </c>
      <c r="T22" s="42" t="s">
        <v>44</v>
      </c>
      <c r="U22" s="43" t="s">
        <v>41</v>
      </c>
      <c r="V22" s="45">
        <v>0</v>
      </c>
      <c r="W22" s="43"/>
      <c r="X22" s="61"/>
    </row>
    <row r="23" spans="1:24" s="62" customFormat="1" ht="70.5" customHeight="1" thickTop="1" thickBot="1" x14ac:dyDescent="0.4">
      <c r="A23" s="67"/>
      <c r="B23" s="82">
        <v>15</v>
      </c>
      <c r="C23" s="95" t="s">
        <v>62</v>
      </c>
      <c r="D23" s="91">
        <v>2410000</v>
      </c>
      <c r="E23" s="96">
        <f>2200000-200000</f>
        <v>2000000</v>
      </c>
      <c r="F23" s="97"/>
      <c r="G23" s="96"/>
      <c r="H23" s="96">
        <f t="shared" si="0"/>
        <v>2000000</v>
      </c>
      <c r="I23" s="96">
        <f t="shared" si="1"/>
        <v>2360000</v>
      </c>
      <c r="J23" s="95" t="s">
        <v>129</v>
      </c>
      <c r="K23" s="97" t="s">
        <v>67</v>
      </c>
      <c r="L23" s="106" t="s">
        <v>65</v>
      </c>
      <c r="M23" s="90">
        <v>46134</v>
      </c>
      <c r="N23" s="90">
        <f t="shared" ref="N23:N25" si="8">+M23+3</f>
        <v>46137</v>
      </c>
      <c r="O23" s="91">
        <v>3</v>
      </c>
      <c r="P23" s="90">
        <f t="shared" ref="P23:P25" si="9">+N23+21</f>
        <v>46158</v>
      </c>
      <c r="Q23" s="99"/>
      <c r="R23" s="91">
        <v>30</v>
      </c>
      <c r="S23" s="90">
        <f t="shared" ref="S23:S25" si="10">+P23+R23</f>
        <v>46188</v>
      </c>
      <c r="T23" s="42" t="s">
        <v>44</v>
      </c>
      <c r="U23" s="43" t="s">
        <v>41</v>
      </c>
      <c r="V23" s="45">
        <v>0</v>
      </c>
      <c r="W23" s="43"/>
      <c r="X23" s="61"/>
    </row>
    <row r="24" spans="1:24" s="155" customFormat="1" ht="44.25" customHeight="1" thickTop="1" thickBot="1" x14ac:dyDescent="0.4">
      <c r="A24" s="148"/>
      <c r="B24" s="149">
        <v>16</v>
      </c>
      <c r="C24" s="150" t="s">
        <v>62</v>
      </c>
      <c r="D24" s="149">
        <v>2420000</v>
      </c>
      <c r="E24" s="151">
        <v>15000000</v>
      </c>
      <c r="F24" s="97"/>
      <c r="G24" s="96"/>
      <c r="H24" s="151">
        <f t="shared" si="0"/>
        <v>15000000</v>
      </c>
      <c r="I24" s="151">
        <f t="shared" si="1"/>
        <v>17700000</v>
      </c>
      <c r="J24" s="150" t="s">
        <v>140</v>
      </c>
      <c r="K24" s="152" t="s">
        <v>67</v>
      </c>
      <c r="L24" s="153" t="s">
        <v>65</v>
      </c>
      <c r="M24" s="154">
        <v>46158</v>
      </c>
      <c r="N24" s="154">
        <f t="shared" si="8"/>
        <v>46161</v>
      </c>
      <c r="O24" s="149">
        <v>3</v>
      </c>
      <c r="P24" s="154">
        <f t="shared" si="9"/>
        <v>46182</v>
      </c>
      <c r="Q24" s="99"/>
      <c r="R24" s="149">
        <v>30</v>
      </c>
      <c r="S24" s="154">
        <f t="shared" si="10"/>
        <v>46212</v>
      </c>
      <c r="T24" s="42" t="s">
        <v>44</v>
      </c>
      <c r="U24" s="43" t="s">
        <v>41</v>
      </c>
      <c r="V24" s="45">
        <v>0</v>
      </c>
      <c r="W24" s="43"/>
      <c r="X24" s="61"/>
    </row>
    <row r="25" spans="1:24" s="62" customFormat="1" ht="48" customHeight="1" thickTop="1" thickBot="1" x14ac:dyDescent="0.4">
      <c r="A25" s="67"/>
      <c r="B25" s="82">
        <v>17</v>
      </c>
      <c r="C25" s="95" t="s">
        <v>62</v>
      </c>
      <c r="D25" s="91">
        <v>2430000</v>
      </c>
      <c r="E25" s="96">
        <v>16800000</v>
      </c>
      <c r="F25" s="97"/>
      <c r="G25" s="96"/>
      <c r="H25" s="96">
        <f t="shared" si="0"/>
        <v>16800000</v>
      </c>
      <c r="I25" s="96">
        <f t="shared" si="1"/>
        <v>19824000</v>
      </c>
      <c r="J25" s="95" t="s">
        <v>141</v>
      </c>
      <c r="K25" s="97" t="s">
        <v>67</v>
      </c>
      <c r="L25" s="106" t="s">
        <v>65</v>
      </c>
      <c r="M25" s="90">
        <v>46193</v>
      </c>
      <c r="N25" s="90">
        <f t="shared" si="8"/>
        <v>46196</v>
      </c>
      <c r="O25" s="91">
        <v>3</v>
      </c>
      <c r="P25" s="90">
        <f t="shared" si="9"/>
        <v>46217</v>
      </c>
      <c r="Q25" s="99"/>
      <c r="R25" s="91">
        <v>21</v>
      </c>
      <c r="S25" s="90">
        <f t="shared" si="10"/>
        <v>46238</v>
      </c>
      <c r="T25" s="42" t="s">
        <v>44</v>
      </c>
      <c r="U25" s="43" t="s">
        <v>41</v>
      </c>
      <c r="V25" s="45">
        <v>0</v>
      </c>
      <c r="W25" s="43"/>
      <c r="X25" s="61"/>
    </row>
    <row r="26" spans="1:24" s="62" customFormat="1" ht="54.75" customHeight="1" thickTop="1" thickBot="1" x14ac:dyDescent="0.4">
      <c r="A26" s="67"/>
      <c r="B26" s="82">
        <v>18</v>
      </c>
      <c r="C26" s="95" t="s">
        <v>62</v>
      </c>
      <c r="D26" s="91">
        <v>2440000</v>
      </c>
      <c r="E26" s="96">
        <v>56200000</v>
      </c>
      <c r="F26" s="97"/>
      <c r="G26" s="96"/>
      <c r="H26" s="96">
        <f t="shared" si="0"/>
        <v>56200000</v>
      </c>
      <c r="I26" s="96">
        <f t="shared" si="1"/>
        <v>66316000</v>
      </c>
      <c r="J26" s="95" t="s">
        <v>161</v>
      </c>
      <c r="K26" s="97" t="s">
        <v>0</v>
      </c>
      <c r="L26" s="106" t="s">
        <v>65</v>
      </c>
      <c r="M26" s="90">
        <v>46091</v>
      </c>
      <c r="N26" s="90">
        <f>M26+3</f>
        <v>46094</v>
      </c>
      <c r="O26" s="91">
        <v>6</v>
      </c>
      <c r="P26" s="90">
        <f>N26+21</f>
        <v>46115</v>
      </c>
      <c r="Q26" s="99"/>
      <c r="R26" s="91">
        <v>60</v>
      </c>
      <c r="S26" s="90">
        <f>P26+R26</f>
        <v>46175</v>
      </c>
      <c r="T26" s="42" t="s">
        <v>44</v>
      </c>
      <c r="U26" s="43" t="s">
        <v>41</v>
      </c>
      <c r="V26" s="45">
        <v>0</v>
      </c>
      <c r="W26" s="43"/>
      <c r="X26" s="61"/>
    </row>
    <row r="27" spans="1:24" s="60" customFormat="1" ht="54.75" customHeight="1" thickTop="1" thickBot="1" x14ac:dyDescent="0.4">
      <c r="A27" s="103"/>
      <c r="B27" s="82">
        <v>19</v>
      </c>
      <c r="C27" s="81" t="s">
        <v>62</v>
      </c>
      <c r="D27" s="82">
        <v>2440000</v>
      </c>
      <c r="E27" s="107">
        <v>11500000</v>
      </c>
      <c r="F27" s="97"/>
      <c r="G27" s="96"/>
      <c r="H27" s="107">
        <f t="shared" si="0"/>
        <v>11500000</v>
      </c>
      <c r="I27" s="107">
        <f t="shared" si="1"/>
        <v>13570000</v>
      </c>
      <c r="J27" s="81" t="s">
        <v>159</v>
      </c>
      <c r="K27" s="108" t="s">
        <v>67</v>
      </c>
      <c r="L27" s="112" t="s">
        <v>65</v>
      </c>
      <c r="M27" s="85">
        <v>46089</v>
      </c>
      <c r="N27" s="85">
        <f>+M27+3</f>
        <v>46092</v>
      </c>
      <c r="O27" s="82">
        <v>3</v>
      </c>
      <c r="P27" s="85">
        <f>+N27+21</f>
        <v>46113</v>
      </c>
      <c r="Q27" s="99"/>
      <c r="R27" s="82">
        <v>21</v>
      </c>
      <c r="S27" s="85">
        <f>+P27+R27</f>
        <v>46134</v>
      </c>
      <c r="T27" s="42" t="s">
        <v>44</v>
      </c>
      <c r="U27" s="43" t="s">
        <v>41</v>
      </c>
      <c r="V27" s="45">
        <v>0</v>
      </c>
      <c r="W27" s="43"/>
      <c r="X27" s="61"/>
    </row>
    <row r="28" spans="1:24" s="62" customFormat="1" ht="54.75" customHeight="1" thickTop="1" thickBot="1" x14ac:dyDescent="0.4">
      <c r="A28" s="67"/>
      <c r="B28" s="82">
        <v>20</v>
      </c>
      <c r="C28" s="95" t="s">
        <v>62</v>
      </c>
      <c r="D28" s="91">
        <v>2431000</v>
      </c>
      <c r="E28" s="96">
        <v>103700000</v>
      </c>
      <c r="F28" s="97"/>
      <c r="G28" s="96"/>
      <c r="H28" s="96">
        <f t="shared" si="0"/>
        <v>103700000</v>
      </c>
      <c r="I28" s="96">
        <f t="shared" si="1"/>
        <v>122366000</v>
      </c>
      <c r="J28" s="95" t="s">
        <v>142</v>
      </c>
      <c r="K28" s="97" t="s">
        <v>3</v>
      </c>
      <c r="L28" s="106" t="s">
        <v>65</v>
      </c>
      <c r="M28" s="90">
        <v>46336</v>
      </c>
      <c r="N28" s="90">
        <v>46350</v>
      </c>
      <c r="O28" s="91">
        <v>6</v>
      </c>
      <c r="P28" s="90">
        <v>46356</v>
      </c>
      <c r="Q28" s="99"/>
      <c r="R28" s="91">
        <v>45</v>
      </c>
      <c r="S28" s="90">
        <f>+P28+R28</f>
        <v>46401</v>
      </c>
      <c r="T28" s="42" t="s">
        <v>44</v>
      </c>
      <c r="U28" s="43" t="s">
        <v>41</v>
      </c>
      <c r="V28" s="45">
        <v>0</v>
      </c>
      <c r="W28" s="43"/>
      <c r="X28" s="61"/>
    </row>
    <row r="29" spans="1:24" s="62" customFormat="1" ht="51.75" customHeight="1" thickTop="1" thickBot="1" x14ac:dyDescent="0.4">
      <c r="A29" s="67"/>
      <c r="B29" s="82">
        <v>21</v>
      </c>
      <c r="C29" s="95" t="s">
        <v>62</v>
      </c>
      <c r="D29" s="91">
        <v>2431000</v>
      </c>
      <c r="E29" s="100">
        <f>3155000000-100000000</f>
        <v>3055000000</v>
      </c>
      <c r="F29" s="97"/>
      <c r="G29" s="96"/>
      <c r="H29" s="96">
        <f>+E29</f>
        <v>3055000000</v>
      </c>
      <c r="I29" s="96">
        <f t="shared" si="1"/>
        <v>3604900000</v>
      </c>
      <c r="J29" s="95" t="s">
        <v>143</v>
      </c>
      <c r="K29" s="97" t="s">
        <v>4</v>
      </c>
      <c r="L29" s="106" t="s">
        <v>65</v>
      </c>
      <c r="M29" s="85">
        <v>46193</v>
      </c>
      <c r="N29" s="85">
        <f>M29+30</f>
        <v>46223</v>
      </c>
      <c r="O29" s="82">
        <v>6</v>
      </c>
      <c r="P29" s="85">
        <f>N29+21</f>
        <v>46244</v>
      </c>
      <c r="Q29" s="99"/>
      <c r="R29" s="82">
        <v>120</v>
      </c>
      <c r="S29" s="85">
        <f>P29+R29</f>
        <v>46364</v>
      </c>
      <c r="T29" s="42" t="s">
        <v>44</v>
      </c>
      <c r="U29" s="43" t="s">
        <v>41</v>
      </c>
      <c r="V29" s="45">
        <v>0</v>
      </c>
      <c r="W29" s="43"/>
      <c r="X29" s="61"/>
    </row>
    <row r="30" spans="1:24" ht="33" customHeight="1" thickTop="1" thickBot="1" x14ac:dyDescent="0.4">
      <c r="A30" s="104"/>
      <c r="B30" s="82"/>
      <c r="C30" s="160" t="s">
        <v>68</v>
      </c>
      <c r="D30" s="160"/>
      <c r="E30" s="115">
        <f>SUM(E9:E29)</f>
        <v>4930200000</v>
      </c>
      <c r="F30" s="116">
        <f>SUM(F9:F29)</f>
        <v>0</v>
      </c>
      <c r="G30" s="115">
        <f>SUM(G9:G29)</f>
        <v>0</v>
      </c>
      <c r="H30" s="115">
        <f>SUM(H9:H29)</f>
        <v>4930200000</v>
      </c>
      <c r="I30" s="115">
        <f>SUM(I9:I29)</f>
        <v>5817636000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46"/>
      <c r="U30" s="47"/>
      <c r="V30" s="48"/>
      <c r="W30" s="47"/>
    </row>
    <row r="31" spans="1:24" ht="27.75" customHeight="1" thickTop="1" thickBot="1" x14ac:dyDescent="0.4">
      <c r="A31" s="104"/>
      <c r="B31" s="82"/>
      <c r="C31" s="159" t="s">
        <v>69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46"/>
      <c r="U31" s="47"/>
      <c r="V31" s="48"/>
      <c r="W31" s="47"/>
    </row>
    <row r="32" spans="1:24" s="62" customFormat="1" ht="44.25" customHeight="1" thickTop="1" thickBot="1" x14ac:dyDescent="0.4">
      <c r="A32" s="67"/>
      <c r="B32" s="82">
        <v>22</v>
      </c>
      <c r="C32" s="95" t="s">
        <v>62</v>
      </c>
      <c r="D32" s="95">
        <v>60470000</v>
      </c>
      <c r="E32" s="96">
        <v>30000000</v>
      </c>
      <c r="F32" s="97"/>
      <c r="G32" s="96"/>
      <c r="H32" s="96">
        <f>E32</f>
        <v>30000000</v>
      </c>
      <c r="I32" s="96">
        <f>+H32*1.18</f>
        <v>35400000</v>
      </c>
      <c r="J32" s="95" t="s">
        <v>160</v>
      </c>
      <c r="K32" s="98" t="s">
        <v>132</v>
      </c>
      <c r="L32" s="106" t="s">
        <v>65</v>
      </c>
      <c r="M32" s="90">
        <v>46084</v>
      </c>
      <c r="N32" s="90">
        <f>+M32+3</f>
        <v>46087</v>
      </c>
      <c r="O32" s="91">
        <v>3</v>
      </c>
      <c r="P32" s="90">
        <f>+N32+21</f>
        <v>46108</v>
      </c>
      <c r="Q32" s="99"/>
      <c r="R32" s="91">
        <v>14</v>
      </c>
      <c r="S32" s="90">
        <v>46387</v>
      </c>
      <c r="T32" s="42"/>
      <c r="U32" s="43" t="s">
        <v>39</v>
      </c>
      <c r="V32" s="45">
        <v>0</v>
      </c>
      <c r="W32" s="43"/>
      <c r="X32" s="61" t="s">
        <v>71</v>
      </c>
    </row>
    <row r="33" spans="1:24" s="62" customFormat="1" ht="52.5" customHeight="1" thickTop="1" thickBot="1" x14ac:dyDescent="0.4">
      <c r="A33" s="67"/>
      <c r="B33" s="91">
        <v>23</v>
      </c>
      <c r="C33" s="95" t="s">
        <v>62</v>
      </c>
      <c r="D33" s="95">
        <v>60471000</v>
      </c>
      <c r="E33" s="96">
        <f>17000000-100000</f>
        <v>16900000</v>
      </c>
      <c r="F33" s="97"/>
      <c r="G33" s="96"/>
      <c r="H33" s="96">
        <f t="shared" ref="H33:H84" si="11">E33</f>
        <v>16900000</v>
      </c>
      <c r="I33" s="96">
        <f t="shared" ref="I33:I84" si="12">+H33*1.18</f>
        <v>19942000</v>
      </c>
      <c r="J33" s="95" t="s">
        <v>89</v>
      </c>
      <c r="K33" s="98" t="s">
        <v>72</v>
      </c>
      <c r="L33" s="106" t="s">
        <v>65</v>
      </c>
      <c r="M33" s="90">
        <v>46115</v>
      </c>
      <c r="N33" s="90">
        <f t="shared" ref="N33:N34" si="13">+M33+3</f>
        <v>46118</v>
      </c>
      <c r="O33" s="91">
        <v>3</v>
      </c>
      <c r="P33" s="90">
        <f t="shared" ref="P33:P34" si="14">+N33+21</f>
        <v>46139</v>
      </c>
      <c r="Q33" s="99"/>
      <c r="R33" s="91">
        <v>14</v>
      </c>
      <c r="S33" s="90">
        <v>46388</v>
      </c>
      <c r="T33" s="42"/>
      <c r="U33" s="43" t="s">
        <v>42</v>
      </c>
      <c r="V33" s="45">
        <v>0</v>
      </c>
      <c r="W33" s="43"/>
      <c r="X33" s="61"/>
    </row>
    <row r="34" spans="1:24" s="155" customFormat="1" ht="46.5" customHeight="1" thickTop="1" thickBot="1" x14ac:dyDescent="0.4">
      <c r="A34" s="148"/>
      <c r="B34" s="149">
        <v>24</v>
      </c>
      <c r="C34" s="150" t="s">
        <v>62</v>
      </c>
      <c r="D34" s="150" t="s">
        <v>92</v>
      </c>
      <c r="E34" s="151">
        <f>5000000+4500000</f>
        <v>9500000</v>
      </c>
      <c r="F34" s="97"/>
      <c r="G34" s="96"/>
      <c r="H34" s="151">
        <f t="shared" si="11"/>
        <v>9500000</v>
      </c>
      <c r="I34" s="151">
        <f t="shared" si="12"/>
        <v>11210000</v>
      </c>
      <c r="J34" s="150" t="s">
        <v>151</v>
      </c>
      <c r="K34" s="156" t="s">
        <v>67</v>
      </c>
      <c r="L34" s="153" t="s">
        <v>65</v>
      </c>
      <c r="M34" s="154">
        <v>46138</v>
      </c>
      <c r="N34" s="154">
        <f t="shared" si="13"/>
        <v>46141</v>
      </c>
      <c r="O34" s="149">
        <v>3</v>
      </c>
      <c r="P34" s="154">
        <f t="shared" si="14"/>
        <v>46162</v>
      </c>
      <c r="Q34" s="99"/>
      <c r="R34" s="149">
        <v>21</v>
      </c>
      <c r="S34" s="154">
        <f t="shared" ref="S34" si="15">+P34+R34</f>
        <v>46183</v>
      </c>
      <c r="T34" s="42"/>
      <c r="U34" s="43" t="s">
        <v>42</v>
      </c>
      <c r="V34" s="45">
        <v>0</v>
      </c>
      <c r="W34" s="43"/>
      <c r="X34" s="61"/>
    </row>
    <row r="35" spans="1:24" s="60" customFormat="1" ht="52.5" customHeight="1" thickTop="1" thickBot="1" x14ac:dyDescent="0.4">
      <c r="A35" s="103"/>
      <c r="B35" s="165">
        <v>25</v>
      </c>
      <c r="C35" s="81" t="s">
        <v>62</v>
      </c>
      <c r="D35" s="81">
        <v>60531000</v>
      </c>
      <c r="E35" s="107">
        <f>91000000</f>
        <v>91000000</v>
      </c>
      <c r="F35" s="108"/>
      <c r="G35" s="107"/>
      <c r="H35" s="107">
        <f t="shared" si="11"/>
        <v>91000000</v>
      </c>
      <c r="I35" s="107">
        <v>91000000</v>
      </c>
      <c r="J35" s="81" t="s">
        <v>90</v>
      </c>
      <c r="K35" s="166" t="s">
        <v>91</v>
      </c>
      <c r="L35" s="167" t="s">
        <v>65</v>
      </c>
      <c r="M35" s="168">
        <v>46027</v>
      </c>
      <c r="N35" s="168">
        <f>M35+3</f>
        <v>46030</v>
      </c>
      <c r="O35" s="169">
        <v>1</v>
      </c>
      <c r="P35" s="168">
        <f>N35+21</f>
        <v>46051</v>
      </c>
      <c r="Q35" s="86"/>
      <c r="R35" s="169">
        <v>21</v>
      </c>
      <c r="S35" s="168">
        <v>46387</v>
      </c>
      <c r="T35" s="110"/>
      <c r="U35" s="111"/>
      <c r="V35" s="39">
        <v>0</v>
      </c>
      <c r="W35" s="111"/>
      <c r="X35" s="59"/>
    </row>
    <row r="36" spans="1:24" s="60" customFormat="1" ht="40" thickTop="1" thickBot="1" x14ac:dyDescent="0.4">
      <c r="A36" s="103"/>
      <c r="B36" s="165"/>
      <c r="C36" s="81" t="s">
        <v>62</v>
      </c>
      <c r="D36" s="81">
        <v>60532000</v>
      </c>
      <c r="E36" s="107">
        <v>240000000</v>
      </c>
      <c r="F36" s="108"/>
      <c r="G36" s="107"/>
      <c r="H36" s="107">
        <f t="shared" si="11"/>
        <v>240000000</v>
      </c>
      <c r="I36" s="107">
        <v>240000000</v>
      </c>
      <c r="J36" s="81" t="s">
        <v>82</v>
      </c>
      <c r="K36" s="166"/>
      <c r="L36" s="167"/>
      <c r="M36" s="168"/>
      <c r="N36" s="168"/>
      <c r="O36" s="169"/>
      <c r="P36" s="168"/>
      <c r="Q36" s="86"/>
      <c r="R36" s="169"/>
      <c r="S36" s="168"/>
      <c r="T36" s="110"/>
      <c r="U36" s="111"/>
      <c r="V36" s="39">
        <v>0</v>
      </c>
      <c r="W36" s="111"/>
      <c r="X36" s="59"/>
    </row>
    <row r="37" spans="1:24" s="62" customFormat="1" ht="40.5" customHeight="1" thickTop="1" thickBot="1" x14ac:dyDescent="0.4">
      <c r="A37" s="67"/>
      <c r="B37" s="91">
        <v>26</v>
      </c>
      <c r="C37" s="95" t="s">
        <v>62</v>
      </c>
      <c r="D37" s="95">
        <v>60540000</v>
      </c>
      <c r="E37" s="96">
        <v>8000000</v>
      </c>
      <c r="F37" s="97"/>
      <c r="G37" s="96"/>
      <c r="H37" s="96">
        <f t="shared" si="11"/>
        <v>8000000</v>
      </c>
      <c r="I37" s="96">
        <f t="shared" si="12"/>
        <v>9440000</v>
      </c>
      <c r="J37" s="95" t="s">
        <v>152</v>
      </c>
      <c r="K37" s="98" t="s">
        <v>74</v>
      </c>
      <c r="L37" s="106" t="s">
        <v>65</v>
      </c>
      <c r="M37" s="90">
        <v>46180</v>
      </c>
      <c r="N37" s="90">
        <f t="shared" ref="N37:N47" si="16">+M37+3</f>
        <v>46183</v>
      </c>
      <c r="O37" s="91">
        <v>3</v>
      </c>
      <c r="P37" s="90">
        <f t="shared" ref="P37:P47" si="17">+N37+21</f>
        <v>46204</v>
      </c>
      <c r="Q37" s="99"/>
      <c r="R37" s="91">
        <v>21</v>
      </c>
      <c r="S37" s="90">
        <f t="shared" ref="S37:S45" si="18">+P37+R37</f>
        <v>46225</v>
      </c>
      <c r="T37" s="42" t="s">
        <v>44</v>
      </c>
      <c r="U37" s="43" t="s">
        <v>41</v>
      </c>
      <c r="V37" s="45">
        <v>0.15</v>
      </c>
      <c r="W37" s="43"/>
      <c r="X37" s="61"/>
    </row>
    <row r="38" spans="1:24" s="155" customFormat="1" ht="27" thickTop="1" thickBot="1" x14ac:dyDescent="0.4">
      <c r="A38" s="148"/>
      <c r="B38" s="149">
        <v>27</v>
      </c>
      <c r="C38" s="150" t="s">
        <v>62</v>
      </c>
      <c r="D38" s="150">
        <v>60560000</v>
      </c>
      <c r="E38" s="151">
        <f>135000+1000000+1250000+8000000+1200000</f>
        <v>11585000</v>
      </c>
      <c r="F38" s="97"/>
      <c r="G38" s="96"/>
      <c r="H38" s="151">
        <f>E38</f>
        <v>11585000</v>
      </c>
      <c r="I38" s="151">
        <f>+H38*1.18</f>
        <v>13670300</v>
      </c>
      <c r="J38" s="150" t="s">
        <v>85</v>
      </c>
      <c r="K38" s="156" t="s">
        <v>67</v>
      </c>
      <c r="L38" s="153" t="s">
        <v>65</v>
      </c>
      <c r="M38" s="154">
        <v>46154</v>
      </c>
      <c r="N38" s="154">
        <f t="shared" si="16"/>
        <v>46157</v>
      </c>
      <c r="O38" s="149">
        <v>3</v>
      </c>
      <c r="P38" s="154">
        <f t="shared" si="17"/>
        <v>46178</v>
      </c>
      <c r="Q38" s="99"/>
      <c r="R38" s="149">
        <v>21</v>
      </c>
      <c r="S38" s="154">
        <f t="shared" si="18"/>
        <v>46199</v>
      </c>
      <c r="T38" s="42"/>
      <c r="U38" s="43" t="s">
        <v>42</v>
      </c>
      <c r="V38" s="45">
        <v>0</v>
      </c>
      <c r="W38" s="43"/>
      <c r="X38" s="61"/>
    </row>
    <row r="39" spans="1:24" s="155" customFormat="1" ht="66" customHeight="1" thickTop="1" thickBot="1" x14ac:dyDescent="0.4">
      <c r="A39" s="148"/>
      <c r="B39" s="149">
        <v>28</v>
      </c>
      <c r="C39" s="150" t="s">
        <v>62</v>
      </c>
      <c r="D39" s="150">
        <v>60560000</v>
      </c>
      <c r="E39" s="151">
        <v>8500000</v>
      </c>
      <c r="F39" s="97"/>
      <c r="G39" s="96"/>
      <c r="H39" s="151">
        <f t="shared" si="11"/>
        <v>8500000</v>
      </c>
      <c r="I39" s="151">
        <f t="shared" si="12"/>
        <v>10030000</v>
      </c>
      <c r="J39" s="150" t="s">
        <v>144</v>
      </c>
      <c r="K39" s="156" t="s">
        <v>67</v>
      </c>
      <c r="L39" s="153" t="s">
        <v>65</v>
      </c>
      <c r="M39" s="154">
        <v>46154</v>
      </c>
      <c r="N39" s="154">
        <f t="shared" si="16"/>
        <v>46157</v>
      </c>
      <c r="O39" s="149">
        <v>3</v>
      </c>
      <c r="P39" s="154">
        <f t="shared" si="17"/>
        <v>46178</v>
      </c>
      <c r="Q39" s="99"/>
      <c r="R39" s="149">
        <v>21</v>
      </c>
      <c r="S39" s="154">
        <f t="shared" si="18"/>
        <v>46199</v>
      </c>
      <c r="T39" s="42"/>
      <c r="U39" s="43"/>
      <c r="V39" s="45"/>
      <c r="W39" s="43"/>
      <c r="X39" s="61"/>
    </row>
    <row r="40" spans="1:24" s="60" customFormat="1" ht="79.5" customHeight="1" thickTop="1" thickBot="1" x14ac:dyDescent="0.4">
      <c r="A40" s="103"/>
      <c r="B40" s="82">
        <v>29</v>
      </c>
      <c r="C40" s="81" t="s">
        <v>62</v>
      </c>
      <c r="D40" s="81">
        <v>60560000</v>
      </c>
      <c r="E40" s="107">
        <f>13600000+3750000</f>
        <v>17350000</v>
      </c>
      <c r="F40" s="108"/>
      <c r="G40" s="107"/>
      <c r="H40" s="107">
        <f t="shared" si="11"/>
        <v>17350000</v>
      </c>
      <c r="I40" s="107">
        <f t="shared" si="12"/>
        <v>20473000</v>
      </c>
      <c r="J40" s="81" t="s">
        <v>93</v>
      </c>
      <c r="K40" s="109" t="s">
        <v>67</v>
      </c>
      <c r="L40" s="112" t="s">
        <v>65</v>
      </c>
      <c r="M40" s="85">
        <v>46154</v>
      </c>
      <c r="N40" s="85">
        <f t="shared" si="16"/>
        <v>46157</v>
      </c>
      <c r="O40" s="82">
        <v>3</v>
      </c>
      <c r="P40" s="85">
        <f t="shared" si="17"/>
        <v>46178</v>
      </c>
      <c r="Q40" s="86"/>
      <c r="R40" s="82">
        <v>21</v>
      </c>
      <c r="S40" s="85">
        <f t="shared" si="18"/>
        <v>46199</v>
      </c>
      <c r="T40" s="110"/>
      <c r="U40" s="111"/>
      <c r="V40" s="39"/>
      <c r="W40" s="111"/>
      <c r="X40" s="59"/>
    </row>
    <row r="41" spans="1:24" s="60" customFormat="1" ht="79.5" customHeight="1" thickTop="1" thickBot="1" x14ac:dyDescent="0.4">
      <c r="A41" s="103"/>
      <c r="B41" s="82">
        <v>30</v>
      </c>
      <c r="C41" s="81" t="s">
        <v>62</v>
      </c>
      <c r="D41" s="81">
        <v>60560000</v>
      </c>
      <c r="E41" s="107">
        <v>1600000</v>
      </c>
      <c r="F41" s="108"/>
      <c r="G41" s="107"/>
      <c r="H41" s="107">
        <f t="shared" si="11"/>
        <v>1600000</v>
      </c>
      <c r="I41" s="107">
        <f t="shared" si="12"/>
        <v>1888000</v>
      </c>
      <c r="J41" s="81" t="s">
        <v>94</v>
      </c>
      <c r="K41" s="109" t="s">
        <v>0</v>
      </c>
      <c r="L41" s="112" t="s">
        <v>65</v>
      </c>
      <c r="M41" s="85">
        <v>46084</v>
      </c>
      <c r="N41" s="85">
        <f t="shared" si="16"/>
        <v>46087</v>
      </c>
      <c r="O41" s="82">
        <v>3</v>
      </c>
      <c r="P41" s="85">
        <f t="shared" si="17"/>
        <v>46108</v>
      </c>
      <c r="Q41" s="86"/>
      <c r="R41" s="82">
        <v>21</v>
      </c>
      <c r="S41" s="85">
        <f t="shared" si="18"/>
        <v>46129</v>
      </c>
      <c r="T41" s="110"/>
      <c r="U41" s="111"/>
      <c r="V41" s="39"/>
      <c r="W41" s="111"/>
      <c r="X41" s="59"/>
    </row>
    <row r="42" spans="1:24" s="62" customFormat="1" ht="50.25" customHeight="1" thickTop="1" thickBot="1" x14ac:dyDescent="0.4">
      <c r="A42" s="67"/>
      <c r="B42" s="91">
        <v>31</v>
      </c>
      <c r="C42" s="95" t="s">
        <v>62</v>
      </c>
      <c r="D42" s="95">
        <v>61400000</v>
      </c>
      <c r="E42" s="96">
        <v>11000000</v>
      </c>
      <c r="F42" s="97"/>
      <c r="G42" s="96"/>
      <c r="H42" s="83">
        <f t="shared" si="11"/>
        <v>11000000</v>
      </c>
      <c r="I42" s="96">
        <f t="shared" si="12"/>
        <v>12980000</v>
      </c>
      <c r="J42" s="95" t="s">
        <v>162</v>
      </c>
      <c r="K42" s="98" t="s">
        <v>72</v>
      </c>
      <c r="L42" s="106" t="s">
        <v>65</v>
      </c>
      <c r="M42" s="90">
        <v>46084</v>
      </c>
      <c r="N42" s="90">
        <f t="shared" si="16"/>
        <v>46087</v>
      </c>
      <c r="O42" s="91">
        <v>3</v>
      </c>
      <c r="P42" s="92">
        <f t="shared" si="17"/>
        <v>46108</v>
      </c>
      <c r="Q42" s="99"/>
      <c r="R42" s="94">
        <v>21</v>
      </c>
      <c r="S42" s="92">
        <f t="shared" si="18"/>
        <v>46129</v>
      </c>
      <c r="T42" s="42"/>
      <c r="U42" s="43" t="s">
        <v>42</v>
      </c>
      <c r="V42" s="45">
        <v>0</v>
      </c>
      <c r="W42" s="43"/>
      <c r="X42" s="61" t="s">
        <v>73</v>
      </c>
    </row>
    <row r="43" spans="1:24" s="62" customFormat="1" ht="48.75" customHeight="1" thickTop="1" thickBot="1" x14ac:dyDescent="0.4">
      <c r="A43" s="67"/>
      <c r="B43" s="91">
        <v>32</v>
      </c>
      <c r="C43" s="95" t="s">
        <v>62</v>
      </c>
      <c r="D43" s="95">
        <v>62220000</v>
      </c>
      <c r="E43" s="96">
        <v>7000000</v>
      </c>
      <c r="F43" s="97"/>
      <c r="G43" s="96"/>
      <c r="H43" s="83">
        <f t="shared" si="11"/>
        <v>7000000</v>
      </c>
      <c r="I43" s="96">
        <f t="shared" si="12"/>
        <v>8260000</v>
      </c>
      <c r="J43" s="95" t="s">
        <v>163</v>
      </c>
      <c r="K43" s="98" t="s">
        <v>74</v>
      </c>
      <c r="L43" s="106" t="s">
        <v>65</v>
      </c>
      <c r="M43" s="90">
        <v>46084</v>
      </c>
      <c r="N43" s="90">
        <f t="shared" si="16"/>
        <v>46087</v>
      </c>
      <c r="O43" s="91">
        <v>3</v>
      </c>
      <c r="P43" s="92">
        <f t="shared" si="17"/>
        <v>46108</v>
      </c>
      <c r="Q43" s="99"/>
      <c r="R43" s="94">
        <v>21</v>
      </c>
      <c r="S43" s="92">
        <f t="shared" si="18"/>
        <v>46129</v>
      </c>
      <c r="T43" s="42" t="s">
        <v>45</v>
      </c>
      <c r="U43" s="43" t="s">
        <v>42</v>
      </c>
      <c r="V43" s="45">
        <v>0</v>
      </c>
      <c r="W43" s="43"/>
      <c r="X43" s="61"/>
    </row>
    <row r="44" spans="1:24" s="62" customFormat="1" ht="49.5" customHeight="1" thickTop="1" thickBot="1" x14ac:dyDescent="0.4">
      <c r="A44" s="67"/>
      <c r="B44" s="91">
        <v>33</v>
      </c>
      <c r="C44" s="95" t="s">
        <v>62</v>
      </c>
      <c r="D44" s="95">
        <v>6241000</v>
      </c>
      <c r="E44" s="96">
        <v>40000000</v>
      </c>
      <c r="F44" s="97"/>
      <c r="G44" s="96"/>
      <c r="H44" s="96">
        <f t="shared" si="11"/>
        <v>40000000</v>
      </c>
      <c r="I44" s="96">
        <f t="shared" si="12"/>
        <v>47200000</v>
      </c>
      <c r="J44" s="95" t="s">
        <v>95</v>
      </c>
      <c r="K44" s="98" t="s">
        <v>153</v>
      </c>
      <c r="L44" s="106" t="s">
        <v>65</v>
      </c>
      <c r="M44" s="90">
        <v>46084</v>
      </c>
      <c r="N44" s="90">
        <f t="shared" si="16"/>
        <v>46087</v>
      </c>
      <c r="O44" s="91">
        <v>3</v>
      </c>
      <c r="P44" s="90">
        <f t="shared" si="17"/>
        <v>46108</v>
      </c>
      <c r="Q44" s="99"/>
      <c r="R44" s="91">
        <v>21</v>
      </c>
      <c r="S44" s="90">
        <f t="shared" si="18"/>
        <v>46129</v>
      </c>
      <c r="T44" s="42"/>
      <c r="U44" s="43"/>
      <c r="V44" s="45"/>
      <c r="W44" s="43"/>
      <c r="X44" s="61"/>
    </row>
    <row r="45" spans="1:24" s="155" customFormat="1" ht="49.5" customHeight="1" thickTop="1" thickBot="1" x14ac:dyDescent="0.4">
      <c r="A45" s="148"/>
      <c r="B45" s="149">
        <v>34</v>
      </c>
      <c r="C45" s="150" t="s">
        <v>62</v>
      </c>
      <c r="D45" s="150">
        <v>6241000</v>
      </c>
      <c r="E45" s="151">
        <f>2500000+3850000</f>
        <v>6350000</v>
      </c>
      <c r="F45" s="97"/>
      <c r="G45" s="96"/>
      <c r="H45" s="151">
        <f t="shared" si="11"/>
        <v>6350000</v>
      </c>
      <c r="I45" s="151">
        <f t="shared" si="12"/>
        <v>7493000</v>
      </c>
      <c r="J45" s="150" t="s">
        <v>145</v>
      </c>
      <c r="K45" s="156" t="s">
        <v>74</v>
      </c>
      <c r="L45" s="153" t="s">
        <v>65</v>
      </c>
      <c r="M45" s="154">
        <v>46084</v>
      </c>
      <c r="N45" s="154">
        <f t="shared" si="16"/>
        <v>46087</v>
      </c>
      <c r="O45" s="149">
        <v>3</v>
      </c>
      <c r="P45" s="154">
        <f t="shared" si="17"/>
        <v>46108</v>
      </c>
      <c r="Q45" s="99"/>
      <c r="R45" s="149">
        <v>21</v>
      </c>
      <c r="S45" s="154">
        <f t="shared" si="18"/>
        <v>46129</v>
      </c>
      <c r="T45" s="42"/>
      <c r="U45" s="43"/>
      <c r="V45" s="45"/>
      <c r="W45" s="43"/>
      <c r="X45" s="61"/>
    </row>
    <row r="46" spans="1:24" s="62" customFormat="1" ht="49.5" customHeight="1" thickTop="1" thickBot="1" x14ac:dyDescent="0.4">
      <c r="A46" s="67"/>
      <c r="B46" s="91">
        <v>35</v>
      </c>
      <c r="C46" s="95" t="s">
        <v>62</v>
      </c>
      <c r="D46" s="95">
        <v>62424000</v>
      </c>
      <c r="E46" s="96">
        <v>2500000</v>
      </c>
      <c r="F46" s="97"/>
      <c r="G46" s="96"/>
      <c r="H46" s="83">
        <f t="shared" si="11"/>
        <v>2500000</v>
      </c>
      <c r="I46" s="96">
        <f t="shared" si="12"/>
        <v>2950000</v>
      </c>
      <c r="J46" s="95" t="s">
        <v>96</v>
      </c>
      <c r="K46" s="98" t="s">
        <v>74</v>
      </c>
      <c r="L46" s="106" t="s">
        <v>65</v>
      </c>
      <c r="M46" s="90">
        <v>46054</v>
      </c>
      <c r="N46" s="90">
        <f t="shared" si="16"/>
        <v>46057</v>
      </c>
      <c r="O46" s="91">
        <v>3</v>
      </c>
      <c r="P46" s="92">
        <f t="shared" si="17"/>
        <v>46078</v>
      </c>
      <c r="Q46" s="99"/>
      <c r="R46" s="94">
        <v>300</v>
      </c>
      <c r="S46" s="92">
        <v>46387</v>
      </c>
      <c r="T46" s="42"/>
      <c r="U46" s="43"/>
      <c r="V46" s="45"/>
      <c r="W46" s="43"/>
      <c r="X46" s="61"/>
    </row>
    <row r="47" spans="1:24" s="130" customFormat="1" ht="89.25" customHeight="1" thickTop="1" thickBot="1" x14ac:dyDescent="0.4">
      <c r="A47" s="120"/>
      <c r="B47" s="121">
        <v>36</v>
      </c>
      <c r="C47" s="122" t="s">
        <v>62</v>
      </c>
      <c r="D47" s="122" t="s">
        <v>104</v>
      </c>
      <c r="E47" s="123">
        <f>15000000</f>
        <v>15000000</v>
      </c>
      <c r="F47" s="124"/>
      <c r="G47" s="123"/>
      <c r="H47" s="123">
        <f t="shared" si="11"/>
        <v>15000000</v>
      </c>
      <c r="I47" s="123">
        <f t="shared" si="12"/>
        <v>17700000</v>
      </c>
      <c r="J47" s="122" t="s">
        <v>164</v>
      </c>
      <c r="K47" s="125" t="s">
        <v>74</v>
      </c>
      <c r="L47" s="126" t="s">
        <v>65</v>
      </c>
      <c r="M47" s="127">
        <v>46054</v>
      </c>
      <c r="N47" s="127">
        <f t="shared" si="16"/>
        <v>46057</v>
      </c>
      <c r="O47" s="121">
        <v>3</v>
      </c>
      <c r="P47" s="127">
        <f t="shared" si="17"/>
        <v>46078</v>
      </c>
      <c r="Q47" s="128"/>
      <c r="R47" s="121">
        <v>300</v>
      </c>
      <c r="S47" s="127">
        <v>46387</v>
      </c>
      <c r="T47" s="44"/>
      <c r="U47" s="40"/>
      <c r="V47" s="41"/>
      <c r="W47" s="40"/>
      <c r="X47" s="129"/>
    </row>
    <row r="48" spans="1:24" s="62" customFormat="1" ht="53" thickTop="1" thickBot="1" x14ac:dyDescent="0.4">
      <c r="A48" s="67"/>
      <c r="B48" s="91">
        <v>37</v>
      </c>
      <c r="C48" s="95" t="s">
        <v>62</v>
      </c>
      <c r="D48" s="95">
        <v>62425000</v>
      </c>
      <c r="E48" s="96">
        <v>180000000</v>
      </c>
      <c r="F48" s="97"/>
      <c r="G48" s="96"/>
      <c r="H48" s="96">
        <f t="shared" si="11"/>
        <v>180000000</v>
      </c>
      <c r="I48" s="96">
        <f t="shared" si="12"/>
        <v>212400000</v>
      </c>
      <c r="J48" s="95" t="s">
        <v>146</v>
      </c>
      <c r="K48" s="98" t="s">
        <v>97</v>
      </c>
      <c r="L48" s="106" t="s">
        <v>65</v>
      </c>
      <c r="M48" s="90">
        <v>46042</v>
      </c>
      <c r="N48" s="90">
        <f>M48+30</f>
        <v>46072</v>
      </c>
      <c r="O48" s="91">
        <v>6</v>
      </c>
      <c r="P48" s="90">
        <f>N48+21</f>
        <v>46093</v>
      </c>
      <c r="Q48" s="99"/>
      <c r="R48" s="91">
        <v>270</v>
      </c>
      <c r="S48" s="90">
        <v>46387</v>
      </c>
      <c r="T48" s="42"/>
      <c r="U48" s="43" t="s">
        <v>42</v>
      </c>
      <c r="V48" s="45">
        <v>0</v>
      </c>
      <c r="W48" s="43"/>
      <c r="X48" s="61"/>
    </row>
    <row r="49" spans="1:24" s="62" customFormat="1" ht="69.75" customHeight="1" thickTop="1" thickBot="1" x14ac:dyDescent="0.4">
      <c r="A49" s="67"/>
      <c r="B49" s="91">
        <v>38</v>
      </c>
      <c r="C49" s="95" t="s">
        <v>62</v>
      </c>
      <c r="D49" s="95">
        <v>62426000</v>
      </c>
      <c r="E49" s="131">
        <v>5000000</v>
      </c>
      <c r="F49" s="97"/>
      <c r="G49" s="96"/>
      <c r="H49" s="96">
        <f t="shared" si="11"/>
        <v>5000000</v>
      </c>
      <c r="I49" s="96">
        <f t="shared" si="12"/>
        <v>5900000</v>
      </c>
      <c r="J49" s="95" t="s">
        <v>102</v>
      </c>
      <c r="K49" s="98" t="s">
        <v>74</v>
      </c>
      <c r="L49" s="106" t="s">
        <v>65</v>
      </c>
      <c r="M49" s="90">
        <v>46054</v>
      </c>
      <c r="N49" s="90">
        <f t="shared" ref="N49:N56" si="19">+M49+3</f>
        <v>46057</v>
      </c>
      <c r="O49" s="91">
        <v>3</v>
      </c>
      <c r="P49" s="90">
        <f t="shared" ref="P49:P56" si="20">+N49+21</f>
        <v>46078</v>
      </c>
      <c r="Q49" s="99"/>
      <c r="R49" s="91">
        <v>300</v>
      </c>
      <c r="S49" s="90">
        <v>46387</v>
      </c>
      <c r="T49" s="42" t="s">
        <v>44</v>
      </c>
      <c r="U49" s="43" t="s">
        <v>41</v>
      </c>
      <c r="V49" s="45">
        <v>0</v>
      </c>
      <c r="W49" s="43"/>
      <c r="X49" s="61"/>
    </row>
    <row r="50" spans="1:24" s="62" customFormat="1" ht="79" thickTop="1" thickBot="1" x14ac:dyDescent="0.4">
      <c r="A50" s="67"/>
      <c r="B50" s="91">
        <v>39</v>
      </c>
      <c r="C50" s="95" t="s">
        <v>62</v>
      </c>
      <c r="D50" s="95">
        <v>62426000</v>
      </c>
      <c r="E50" s="131">
        <v>10000000</v>
      </c>
      <c r="F50" s="97"/>
      <c r="G50" s="96"/>
      <c r="H50" s="96">
        <f t="shared" si="11"/>
        <v>10000000</v>
      </c>
      <c r="I50" s="96">
        <f t="shared" si="12"/>
        <v>11800000</v>
      </c>
      <c r="J50" s="95" t="s">
        <v>98</v>
      </c>
      <c r="K50" s="98" t="s">
        <v>74</v>
      </c>
      <c r="L50" s="106" t="s">
        <v>65</v>
      </c>
      <c r="M50" s="90">
        <v>46054</v>
      </c>
      <c r="N50" s="90">
        <f t="shared" si="19"/>
        <v>46057</v>
      </c>
      <c r="O50" s="91">
        <v>3</v>
      </c>
      <c r="P50" s="90">
        <f t="shared" si="20"/>
        <v>46078</v>
      </c>
      <c r="Q50" s="99"/>
      <c r="R50" s="91">
        <v>300</v>
      </c>
      <c r="S50" s="90">
        <v>46387</v>
      </c>
      <c r="T50" s="42" t="s">
        <v>44</v>
      </c>
      <c r="U50" s="43" t="s">
        <v>41</v>
      </c>
      <c r="V50" s="45">
        <v>0</v>
      </c>
      <c r="W50" s="43"/>
      <c r="X50" s="61"/>
    </row>
    <row r="51" spans="1:24" s="62" customFormat="1" ht="93" customHeight="1" thickTop="1" thickBot="1" x14ac:dyDescent="0.4">
      <c r="A51" s="67"/>
      <c r="B51" s="91">
        <v>40</v>
      </c>
      <c r="C51" s="95" t="s">
        <v>62</v>
      </c>
      <c r="D51" s="95">
        <v>62426000</v>
      </c>
      <c r="E51" s="131">
        <v>7000000</v>
      </c>
      <c r="F51" s="97"/>
      <c r="G51" s="96"/>
      <c r="H51" s="96">
        <f t="shared" si="11"/>
        <v>7000000</v>
      </c>
      <c r="I51" s="96">
        <f t="shared" si="12"/>
        <v>8260000</v>
      </c>
      <c r="J51" s="95" t="s">
        <v>100</v>
      </c>
      <c r="K51" s="98" t="s">
        <v>74</v>
      </c>
      <c r="L51" s="106" t="s">
        <v>65</v>
      </c>
      <c r="M51" s="90">
        <v>46054</v>
      </c>
      <c r="N51" s="90">
        <f t="shared" si="19"/>
        <v>46057</v>
      </c>
      <c r="O51" s="91">
        <v>3</v>
      </c>
      <c r="P51" s="90">
        <f t="shared" si="20"/>
        <v>46078</v>
      </c>
      <c r="Q51" s="99"/>
      <c r="R51" s="91">
        <v>300</v>
      </c>
      <c r="S51" s="90">
        <v>46387</v>
      </c>
      <c r="T51" s="42" t="s">
        <v>44</v>
      </c>
      <c r="U51" s="43" t="s">
        <v>42</v>
      </c>
      <c r="V51" s="45">
        <v>0</v>
      </c>
      <c r="W51" s="43"/>
      <c r="X51" s="61"/>
    </row>
    <row r="52" spans="1:24" s="62" customFormat="1" ht="75" customHeight="1" thickTop="1" thickBot="1" x14ac:dyDescent="0.4">
      <c r="A52" s="67"/>
      <c r="B52" s="91">
        <v>41</v>
      </c>
      <c r="C52" s="95" t="s">
        <v>62</v>
      </c>
      <c r="D52" s="95">
        <v>62426000</v>
      </c>
      <c r="E52" s="131">
        <v>5000000</v>
      </c>
      <c r="F52" s="97"/>
      <c r="G52" s="96"/>
      <c r="H52" s="83">
        <f t="shared" si="11"/>
        <v>5000000</v>
      </c>
      <c r="I52" s="96">
        <f t="shared" si="12"/>
        <v>5900000</v>
      </c>
      <c r="J52" s="95" t="s">
        <v>99</v>
      </c>
      <c r="K52" s="98" t="s">
        <v>74</v>
      </c>
      <c r="L52" s="106" t="s">
        <v>65</v>
      </c>
      <c r="M52" s="90">
        <v>46054</v>
      </c>
      <c r="N52" s="90">
        <f t="shared" si="19"/>
        <v>46057</v>
      </c>
      <c r="O52" s="91">
        <v>3</v>
      </c>
      <c r="P52" s="92">
        <f t="shared" si="20"/>
        <v>46078</v>
      </c>
      <c r="Q52" s="99"/>
      <c r="R52" s="94">
        <v>300</v>
      </c>
      <c r="S52" s="92">
        <v>46387</v>
      </c>
      <c r="T52" s="42" t="s">
        <v>44</v>
      </c>
      <c r="U52" s="43" t="s">
        <v>42</v>
      </c>
      <c r="V52" s="45">
        <v>0</v>
      </c>
      <c r="W52" s="43"/>
      <c r="X52" s="61"/>
    </row>
    <row r="53" spans="1:24" s="62" customFormat="1" ht="54" customHeight="1" thickTop="1" thickBot="1" x14ac:dyDescent="0.4">
      <c r="A53" s="67"/>
      <c r="B53" s="91">
        <v>42</v>
      </c>
      <c r="C53" s="95" t="s">
        <v>62</v>
      </c>
      <c r="D53" s="95">
        <v>62426000</v>
      </c>
      <c r="E53" s="131">
        <v>4000000</v>
      </c>
      <c r="F53" s="97"/>
      <c r="G53" s="96"/>
      <c r="H53" s="83">
        <f t="shared" si="11"/>
        <v>4000000</v>
      </c>
      <c r="I53" s="96">
        <f t="shared" si="12"/>
        <v>4720000</v>
      </c>
      <c r="J53" s="95" t="s">
        <v>147</v>
      </c>
      <c r="K53" s="98" t="s">
        <v>74</v>
      </c>
      <c r="L53" s="106" t="s">
        <v>65</v>
      </c>
      <c r="M53" s="90">
        <v>46054</v>
      </c>
      <c r="N53" s="90">
        <f t="shared" si="19"/>
        <v>46057</v>
      </c>
      <c r="O53" s="91">
        <v>3</v>
      </c>
      <c r="P53" s="92">
        <f t="shared" si="20"/>
        <v>46078</v>
      </c>
      <c r="Q53" s="99"/>
      <c r="R53" s="94">
        <v>300</v>
      </c>
      <c r="S53" s="92">
        <v>46387</v>
      </c>
      <c r="T53" s="42" t="s">
        <v>44</v>
      </c>
      <c r="U53" s="43" t="s">
        <v>42</v>
      </c>
      <c r="V53" s="45">
        <v>0</v>
      </c>
      <c r="W53" s="43"/>
      <c r="X53" s="61"/>
    </row>
    <row r="54" spans="1:24" s="67" customFormat="1" ht="63" customHeight="1" thickTop="1" thickBot="1" x14ac:dyDescent="0.4">
      <c r="B54" s="91">
        <v>43</v>
      </c>
      <c r="C54" s="95" t="s">
        <v>62</v>
      </c>
      <c r="D54" s="95">
        <v>62426000</v>
      </c>
      <c r="E54" s="131">
        <v>5000000</v>
      </c>
      <c r="F54" s="97"/>
      <c r="G54" s="96"/>
      <c r="H54" s="96">
        <f t="shared" si="11"/>
        <v>5000000</v>
      </c>
      <c r="I54" s="96">
        <f t="shared" si="12"/>
        <v>5900000</v>
      </c>
      <c r="J54" s="95" t="s">
        <v>101</v>
      </c>
      <c r="K54" s="98" t="s">
        <v>74</v>
      </c>
      <c r="L54" s="106" t="s">
        <v>65</v>
      </c>
      <c r="M54" s="90">
        <v>46054</v>
      </c>
      <c r="N54" s="90">
        <f t="shared" si="19"/>
        <v>46057</v>
      </c>
      <c r="O54" s="91">
        <v>3</v>
      </c>
      <c r="P54" s="90">
        <f t="shared" si="20"/>
        <v>46078</v>
      </c>
      <c r="Q54" s="101"/>
      <c r="R54" s="91">
        <v>300</v>
      </c>
      <c r="S54" s="90">
        <v>46387</v>
      </c>
      <c r="T54" s="63" t="s">
        <v>44</v>
      </c>
      <c r="U54" s="64" t="s">
        <v>42</v>
      </c>
      <c r="V54" s="65">
        <v>0</v>
      </c>
      <c r="W54" s="64"/>
      <c r="X54" s="66"/>
    </row>
    <row r="55" spans="1:24" s="67" customFormat="1" ht="54" customHeight="1" thickTop="1" thickBot="1" x14ac:dyDescent="0.4">
      <c r="B55" s="91">
        <v>44</v>
      </c>
      <c r="C55" s="95" t="s">
        <v>62</v>
      </c>
      <c r="D55" s="95">
        <v>62426000</v>
      </c>
      <c r="E55" s="131">
        <v>1500000</v>
      </c>
      <c r="F55" s="97"/>
      <c r="G55" s="96"/>
      <c r="H55" s="96">
        <f t="shared" si="11"/>
        <v>1500000</v>
      </c>
      <c r="I55" s="96">
        <f t="shared" si="12"/>
        <v>1770000</v>
      </c>
      <c r="J55" s="95" t="s">
        <v>103</v>
      </c>
      <c r="K55" s="98" t="s">
        <v>74</v>
      </c>
      <c r="L55" s="106" t="s">
        <v>65</v>
      </c>
      <c r="M55" s="90">
        <v>46054</v>
      </c>
      <c r="N55" s="90">
        <f t="shared" si="19"/>
        <v>46057</v>
      </c>
      <c r="O55" s="91">
        <v>3</v>
      </c>
      <c r="P55" s="90">
        <f t="shared" si="20"/>
        <v>46078</v>
      </c>
      <c r="Q55" s="101"/>
      <c r="R55" s="91">
        <v>300</v>
      </c>
      <c r="S55" s="90">
        <v>46387</v>
      </c>
      <c r="T55" s="63" t="s">
        <v>44</v>
      </c>
      <c r="U55" s="64" t="s">
        <v>42</v>
      </c>
      <c r="V55" s="65">
        <v>0</v>
      </c>
      <c r="W55" s="64"/>
      <c r="X55" s="66"/>
    </row>
    <row r="56" spans="1:24" s="148" customFormat="1" ht="62.25" customHeight="1" thickTop="1" thickBot="1" x14ac:dyDescent="0.4">
      <c r="B56" s="149">
        <v>45</v>
      </c>
      <c r="C56" s="150" t="s">
        <v>62</v>
      </c>
      <c r="D56" s="150">
        <v>62427000</v>
      </c>
      <c r="E56" s="151">
        <v>10000000</v>
      </c>
      <c r="F56" s="97"/>
      <c r="G56" s="96"/>
      <c r="H56" s="151">
        <f t="shared" si="11"/>
        <v>10000000</v>
      </c>
      <c r="I56" s="151">
        <f t="shared" si="12"/>
        <v>11800000</v>
      </c>
      <c r="J56" s="150" t="s">
        <v>105</v>
      </c>
      <c r="K56" s="156" t="s">
        <v>74</v>
      </c>
      <c r="L56" s="153" t="s">
        <v>65</v>
      </c>
      <c r="M56" s="154">
        <v>46054</v>
      </c>
      <c r="N56" s="154">
        <f t="shared" si="19"/>
        <v>46057</v>
      </c>
      <c r="O56" s="149">
        <v>3</v>
      </c>
      <c r="P56" s="154">
        <f t="shared" si="20"/>
        <v>46078</v>
      </c>
      <c r="Q56" s="101"/>
      <c r="R56" s="149">
        <v>300</v>
      </c>
      <c r="S56" s="154">
        <v>46387</v>
      </c>
      <c r="T56" s="63" t="s">
        <v>44</v>
      </c>
      <c r="U56" s="64" t="s">
        <v>42</v>
      </c>
      <c r="V56" s="65">
        <v>0</v>
      </c>
      <c r="W56" s="64"/>
      <c r="X56" s="66"/>
    </row>
    <row r="57" spans="1:24" s="62" customFormat="1" ht="40" thickTop="1" thickBot="1" x14ac:dyDescent="0.4">
      <c r="A57" s="67"/>
      <c r="B57" s="91">
        <v>46</v>
      </c>
      <c r="C57" s="95" t="s">
        <v>62</v>
      </c>
      <c r="D57" s="95">
        <v>62431000</v>
      </c>
      <c r="E57" s="96">
        <v>50000000</v>
      </c>
      <c r="F57" s="97"/>
      <c r="G57" s="96"/>
      <c r="H57" s="83">
        <f t="shared" si="11"/>
        <v>50000000</v>
      </c>
      <c r="I57" s="96">
        <f t="shared" si="12"/>
        <v>59000000</v>
      </c>
      <c r="J57" s="95" t="s">
        <v>106</v>
      </c>
      <c r="K57" s="98" t="s">
        <v>46</v>
      </c>
      <c r="L57" s="106" t="s">
        <v>65</v>
      </c>
      <c r="M57" s="90">
        <v>46044</v>
      </c>
      <c r="N57" s="90">
        <f>+M57+3</f>
        <v>46047</v>
      </c>
      <c r="O57" s="91">
        <v>3</v>
      </c>
      <c r="P57" s="92">
        <f>+N57+21</f>
        <v>46068</v>
      </c>
      <c r="Q57" s="99"/>
      <c r="R57" s="94">
        <v>30</v>
      </c>
      <c r="S57" s="92">
        <f>+P57+R57</f>
        <v>46098</v>
      </c>
      <c r="T57" s="42" t="s">
        <v>47</v>
      </c>
      <c r="U57" s="43"/>
      <c r="V57" s="45">
        <v>1</v>
      </c>
      <c r="W57" s="43"/>
      <c r="X57" s="61"/>
    </row>
    <row r="58" spans="1:24" s="62" customFormat="1" ht="71.25" customHeight="1" thickTop="1" thickBot="1" x14ac:dyDescent="0.4">
      <c r="A58" s="67"/>
      <c r="B58" s="91">
        <v>47</v>
      </c>
      <c r="C58" s="95" t="s">
        <v>62</v>
      </c>
      <c r="D58" s="95">
        <v>62427000</v>
      </c>
      <c r="E58" s="96">
        <f>2500000+7500000</f>
        <v>10000000</v>
      </c>
      <c r="F58" s="97"/>
      <c r="G58" s="96"/>
      <c r="H58" s="83">
        <f t="shared" si="11"/>
        <v>10000000</v>
      </c>
      <c r="I58" s="96">
        <f t="shared" si="12"/>
        <v>11800000</v>
      </c>
      <c r="J58" s="95" t="s">
        <v>107</v>
      </c>
      <c r="K58" s="98" t="s">
        <v>74</v>
      </c>
      <c r="L58" s="106" t="s">
        <v>65</v>
      </c>
      <c r="M58" s="90">
        <v>46054</v>
      </c>
      <c r="N58" s="90">
        <f>+M58+3</f>
        <v>46057</v>
      </c>
      <c r="O58" s="91">
        <v>3</v>
      </c>
      <c r="P58" s="92">
        <f>+N58+21</f>
        <v>46078</v>
      </c>
      <c r="Q58" s="99"/>
      <c r="R58" s="94">
        <v>300</v>
      </c>
      <c r="S58" s="92">
        <v>46387</v>
      </c>
      <c r="T58" s="42" t="s">
        <v>47</v>
      </c>
      <c r="U58" s="43"/>
      <c r="V58" s="45">
        <v>1</v>
      </c>
      <c r="W58" s="43"/>
      <c r="X58" s="61"/>
    </row>
    <row r="59" spans="1:24" s="62" customFormat="1" ht="27" thickTop="1" thickBot="1" x14ac:dyDescent="0.4">
      <c r="A59" s="67"/>
      <c r="B59" s="91">
        <v>48</v>
      </c>
      <c r="C59" s="95" t="s">
        <v>62</v>
      </c>
      <c r="D59" s="95">
        <v>62427000</v>
      </c>
      <c r="E59" s="96">
        <v>32000000</v>
      </c>
      <c r="F59" s="97"/>
      <c r="G59" s="96"/>
      <c r="H59" s="83">
        <f t="shared" si="11"/>
        <v>32000000</v>
      </c>
      <c r="I59" s="96">
        <f t="shared" si="12"/>
        <v>37760000</v>
      </c>
      <c r="J59" s="95" t="s">
        <v>83</v>
      </c>
      <c r="K59" s="98" t="s">
        <v>70</v>
      </c>
      <c r="L59" s="106" t="s">
        <v>65</v>
      </c>
      <c r="M59" s="90">
        <v>46044</v>
      </c>
      <c r="N59" s="90">
        <v>46029</v>
      </c>
      <c r="O59" s="95">
        <v>1</v>
      </c>
      <c r="P59" s="90">
        <v>46036</v>
      </c>
      <c r="Q59" s="99"/>
      <c r="R59" s="95">
        <v>30</v>
      </c>
      <c r="S59" s="90">
        <v>46041</v>
      </c>
      <c r="T59" s="42" t="s">
        <v>47</v>
      </c>
      <c r="U59" s="43"/>
      <c r="V59" s="45">
        <v>1</v>
      </c>
      <c r="W59" s="43"/>
      <c r="X59" s="61"/>
    </row>
    <row r="60" spans="1:24" s="62" customFormat="1" ht="53" thickTop="1" thickBot="1" x14ac:dyDescent="0.4">
      <c r="A60" s="67"/>
      <c r="B60" s="91">
        <v>49</v>
      </c>
      <c r="C60" s="95" t="s">
        <v>62</v>
      </c>
      <c r="D60" s="95">
        <v>62510000</v>
      </c>
      <c r="E60" s="96">
        <f>105000000+40000000+128300000</f>
        <v>273300000</v>
      </c>
      <c r="F60" s="97"/>
      <c r="G60" s="96"/>
      <c r="H60" s="83">
        <f t="shared" si="11"/>
        <v>273300000</v>
      </c>
      <c r="I60" s="96">
        <f t="shared" si="12"/>
        <v>322494000</v>
      </c>
      <c r="J60" s="95" t="s">
        <v>108</v>
      </c>
      <c r="K60" s="98" t="s">
        <v>40</v>
      </c>
      <c r="L60" s="106" t="s">
        <v>65</v>
      </c>
      <c r="M60" s="90">
        <v>46001</v>
      </c>
      <c r="N60" s="90">
        <v>45651</v>
      </c>
      <c r="O60" s="95">
        <v>1</v>
      </c>
      <c r="P60" s="90">
        <v>46023</v>
      </c>
      <c r="Q60" s="99"/>
      <c r="R60" s="95">
        <v>360</v>
      </c>
      <c r="S60" s="90">
        <v>46387</v>
      </c>
      <c r="T60" s="42" t="s">
        <v>47</v>
      </c>
      <c r="U60" s="43"/>
      <c r="V60" s="45">
        <v>1</v>
      </c>
      <c r="W60" s="43"/>
      <c r="X60" s="61"/>
    </row>
    <row r="61" spans="1:24" s="62" customFormat="1" ht="65.25" customHeight="1" thickTop="1" thickBot="1" x14ac:dyDescent="0.4">
      <c r="A61" s="67"/>
      <c r="B61" s="91">
        <v>50</v>
      </c>
      <c r="C61" s="95" t="s">
        <v>62</v>
      </c>
      <c r="D61" s="95">
        <v>62611000</v>
      </c>
      <c r="E61" s="96">
        <v>10000000</v>
      </c>
      <c r="F61" s="97"/>
      <c r="G61" s="96"/>
      <c r="H61" s="83">
        <f t="shared" si="11"/>
        <v>10000000</v>
      </c>
      <c r="I61" s="96">
        <f t="shared" si="12"/>
        <v>11800000</v>
      </c>
      <c r="J61" s="95" t="s">
        <v>155</v>
      </c>
      <c r="K61" s="98" t="s">
        <v>20</v>
      </c>
      <c r="L61" s="106" t="s">
        <v>65</v>
      </c>
      <c r="M61" s="90">
        <v>46149</v>
      </c>
      <c r="N61" s="90">
        <f t="shared" ref="N61:N63" si="21">+M61+3</f>
        <v>46152</v>
      </c>
      <c r="O61" s="91">
        <v>3</v>
      </c>
      <c r="P61" s="92">
        <f t="shared" ref="P61:P63" si="22">+N61+21</f>
        <v>46173</v>
      </c>
      <c r="Q61" s="99"/>
      <c r="R61" s="94">
        <v>60</v>
      </c>
      <c r="S61" s="92">
        <f>+P61+R61</f>
        <v>46233</v>
      </c>
      <c r="T61" s="42"/>
      <c r="U61" s="43"/>
      <c r="V61" s="45">
        <v>0</v>
      </c>
      <c r="W61" s="43"/>
      <c r="X61" s="61"/>
    </row>
    <row r="62" spans="1:24" s="62" customFormat="1" ht="75.75" customHeight="1" thickTop="1" thickBot="1" x14ac:dyDescent="0.4">
      <c r="A62" s="67"/>
      <c r="B62" s="91">
        <v>51</v>
      </c>
      <c r="C62" s="95" t="s">
        <v>62</v>
      </c>
      <c r="D62" s="95">
        <v>62611000</v>
      </c>
      <c r="E62" s="96">
        <v>16750000</v>
      </c>
      <c r="F62" s="97"/>
      <c r="G62" s="96"/>
      <c r="H62" s="83">
        <f t="shared" si="11"/>
        <v>16750000</v>
      </c>
      <c r="I62" s="96">
        <f t="shared" si="12"/>
        <v>19765000</v>
      </c>
      <c r="J62" s="95" t="s">
        <v>109</v>
      </c>
      <c r="K62" s="98" t="s">
        <v>20</v>
      </c>
      <c r="L62" s="106" t="s">
        <v>65</v>
      </c>
      <c r="M62" s="90">
        <v>46106</v>
      </c>
      <c r="N62" s="90">
        <f t="shared" si="21"/>
        <v>46109</v>
      </c>
      <c r="O62" s="91">
        <v>3</v>
      </c>
      <c r="P62" s="92">
        <f t="shared" si="22"/>
        <v>46130</v>
      </c>
      <c r="Q62" s="99"/>
      <c r="R62" s="94">
        <v>70</v>
      </c>
      <c r="S62" s="92">
        <f t="shared" ref="S62:S63" si="23">+P62+R62</f>
        <v>46200</v>
      </c>
      <c r="T62" s="42"/>
      <c r="U62" s="43"/>
      <c r="V62" s="45">
        <v>0</v>
      </c>
      <c r="W62" s="43"/>
      <c r="X62" s="61"/>
    </row>
    <row r="63" spans="1:24" s="62" customFormat="1" ht="75.75" customHeight="1" thickTop="1" thickBot="1" x14ac:dyDescent="0.4">
      <c r="A63" s="67"/>
      <c r="B63" s="91">
        <v>52</v>
      </c>
      <c r="C63" s="95" t="s">
        <v>62</v>
      </c>
      <c r="D63" s="95">
        <v>62611000</v>
      </c>
      <c r="E63" s="96">
        <f>10000000+3000000</f>
        <v>13000000</v>
      </c>
      <c r="F63" s="97"/>
      <c r="G63" s="96"/>
      <c r="H63" s="83">
        <f t="shared" si="11"/>
        <v>13000000</v>
      </c>
      <c r="I63" s="96">
        <f t="shared" si="12"/>
        <v>15340000</v>
      </c>
      <c r="J63" s="95" t="s">
        <v>110</v>
      </c>
      <c r="K63" s="98" t="s">
        <v>20</v>
      </c>
      <c r="L63" s="106" t="s">
        <v>65</v>
      </c>
      <c r="M63" s="90">
        <v>46132</v>
      </c>
      <c r="N63" s="90">
        <f t="shared" si="21"/>
        <v>46135</v>
      </c>
      <c r="O63" s="91">
        <v>3</v>
      </c>
      <c r="P63" s="92">
        <f t="shared" si="22"/>
        <v>46156</v>
      </c>
      <c r="Q63" s="99"/>
      <c r="R63" s="94">
        <v>70</v>
      </c>
      <c r="S63" s="92">
        <f t="shared" si="23"/>
        <v>46226</v>
      </c>
      <c r="T63" s="42"/>
      <c r="U63" s="43"/>
      <c r="V63" s="45">
        <v>0</v>
      </c>
      <c r="W63" s="43"/>
      <c r="X63" s="61"/>
    </row>
    <row r="64" spans="1:24" s="62" customFormat="1" ht="27" thickTop="1" thickBot="1" x14ac:dyDescent="0.4">
      <c r="A64" s="67"/>
      <c r="B64" s="91">
        <v>53</v>
      </c>
      <c r="C64" s="95" t="s">
        <v>62</v>
      </c>
      <c r="D64" s="95">
        <v>62650000</v>
      </c>
      <c r="E64" s="96">
        <v>6416000</v>
      </c>
      <c r="F64" s="97"/>
      <c r="G64" s="96"/>
      <c r="H64" s="96">
        <f t="shared" si="11"/>
        <v>6416000</v>
      </c>
      <c r="I64" s="96">
        <f t="shared" si="12"/>
        <v>7570880</v>
      </c>
      <c r="J64" s="95" t="s">
        <v>84</v>
      </c>
      <c r="K64" s="98" t="s">
        <v>135</v>
      </c>
      <c r="L64" s="106" t="s">
        <v>65</v>
      </c>
      <c r="M64" s="90">
        <v>46001</v>
      </c>
      <c r="N64" s="90">
        <v>46293</v>
      </c>
      <c r="O64" s="95">
        <v>1</v>
      </c>
      <c r="P64" s="90">
        <v>46023</v>
      </c>
      <c r="Q64" s="99"/>
      <c r="R64" s="95">
        <v>360</v>
      </c>
      <c r="S64" s="90">
        <f>P64+R64</f>
        <v>46383</v>
      </c>
      <c r="T64" s="42" t="s">
        <v>47</v>
      </c>
      <c r="U64" s="43"/>
      <c r="V64" s="45">
        <v>0</v>
      </c>
      <c r="W64" s="43"/>
      <c r="X64" s="61"/>
    </row>
    <row r="65" spans="1:24" s="62" customFormat="1" ht="81" customHeight="1" thickTop="1" thickBot="1" x14ac:dyDescent="0.4">
      <c r="A65" s="67"/>
      <c r="B65" s="91">
        <v>54</v>
      </c>
      <c r="C65" s="95" t="s">
        <v>62</v>
      </c>
      <c r="D65" s="95">
        <v>62650000</v>
      </c>
      <c r="E65" s="96">
        <f>28800000+58675080</f>
        <v>87475080</v>
      </c>
      <c r="F65" s="97"/>
      <c r="G65" s="96"/>
      <c r="H65" s="96">
        <f t="shared" si="11"/>
        <v>87475080</v>
      </c>
      <c r="I65" s="96">
        <f t="shared" si="12"/>
        <v>103220594.39999999</v>
      </c>
      <c r="J65" s="95" t="s">
        <v>148</v>
      </c>
      <c r="K65" s="98" t="s">
        <v>111</v>
      </c>
      <c r="L65" s="106" t="s">
        <v>65</v>
      </c>
      <c r="M65" s="90">
        <v>45687</v>
      </c>
      <c r="N65" s="90">
        <v>45643</v>
      </c>
      <c r="O65" s="95">
        <v>1</v>
      </c>
      <c r="P65" s="90">
        <v>46023</v>
      </c>
      <c r="Q65" s="99"/>
      <c r="R65" s="95">
        <v>360</v>
      </c>
      <c r="S65" s="90">
        <v>46387</v>
      </c>
      <c r="T65" s="42" t="s">
        <v>47</v>
      </c>
      <c r="U65" s="43"/>
      <c r="V65" s="45">
        <v>1</v>
      </c>
      <c r="W65" s="43"/>
      <c r="X65" s="61"/>
    </row>
    <row r="66" spans="1:24" s="130" customFormat="1" ht="32.25" customHeight="1" thickTop="1" thickBot="1" x14ac:dyDescent="0.4">
      <c r="A66" s="120"/>
      <c r="B66" s="121">
        <v>55</v>
      </c>
      <c r="C66" s="122" t="s">
        <v>62</v>
      </c>
      <c r="D66" s="122">
        <v>62650000</v>
      </c>
      <c r="E66" s="123">
        <v>15000000</v>
      </c>
      <c r="F66" s="124"/>
      <c r="G66" s="123"/>
      <c r="H66" s="123">
        <f t="shared" si="11"/>
        <v>15000000</v>
      </c>
      <c r="I66" s="123">
        <f t="shared" si="12"/>
        <v>17700000</v>
      </c>
      <c r="J66" s="122" t="s">
        <v>112</v>
      </c>
      <c r="K66" s="125" t="s">
        <v>111</v>
      </c>
      <c r="L66" s="126" t="s">
        <v>65</v>
      </c>
      <c r="M66" s="127">
        <v>45781</v>
      </c>
      <c r="N66" s="127">
        <v>45643</v>
      </c>
      <c r="O66" s="122">
        <v>1</v>
      </c>
      <c r="P66" s="127">
        <v>46176</v>
      </c>
      <c r="Q66" s="128"/>
      <c r="R66" s="122">
        <v>45</v>
      </c>
      <c r="S66" s="127">
        <f>P66+R66</f>
        <v>46221</v>
      </c>
      <c r="T66" s="44" t="s">
        <v>47</v>
      </c>
      <c r="U66" s="40"/>
      <c r="V66" s="41">
        <v>1</v>
      </c>
      <c r="W66" s="40"/>
      <c r="X66" s="129"/>
    </row>
    <row r="67" spans="1:24" s="155" customFormat="1" ht="43.5" customHeight="1" thickTop="1" thickBot="1" x14ac:dyDescent="0.4">
      <c r="A67" s="148"/>
      <c r="B67" s="149">
        <v>56</v>
      </c>
      <c r="C67" s="150" t="s">
        <v>62</v>
      </c>
      <c r="D67" s="150">
        <v>62781000</v>
      </c>
      <c r="E67" s="151">
        <f>16700000</f>
        <v>16700000</v>
      </c>
      <c r="F67" s="97"/>
      <c r="G67" s="96"/>
      <c r="H67" s="151">
        <f t="shared" si="11"/>
        <v>16700000</v>
      </c>
      <c r="I67" s="151">
        <f t="shared" si="12"/>
        <v>19706000</v>
      </c>
      <c r="J67" s="150" t="s">
        <v>113</v>
      </c>
      <c r="K67" s="156" t="s">
        <v>1</v>
      </c>
      <c r="L67" s="153" t="s">
        <v>65</v>
      </c>
      <c r="M67" s="154">
        <v>46122</v>
      </c>
      <c r="N67" s="154">
        <f t="shared" ref="N67:N71" si="24">+M67+3</f>
        <v>46125</v>
      </c>
      <c r="O67" s="149">
        <v>3</v>
      </c>
      <c r="P67" s="154">
        <f t="shared" ref="P67:P71" si="25">+N67+21</f>
        <v>46146</v>
      </c>
      <c r="Q67" s="102">
        <v>46346</v>
      </c>
      <c r="R67" s="149">
        <v>30</v>
      </c>
      <c r="S67" s="154">
        <f t="shared" ref="S67:S71" si="26">+P67+R67</f>
        <v>46176</v>
      </c>
      <c r="T67" s="42" t="s">
        <v>44</v>
      </c>
      <c r="U67" s="43" t="s">
        <v>41</v>
      </c>
      <c r="V67" s="45">
        <v>0</v>
      </c>
      <c r="W67" s="43"/>
      <c r="X67" s="61"/>
    </row>
    <row r="68" spans="1:24" s="60" customFormat="1" ht="53.25" customHeight="1" thickTop="1" thickBot="1" x14ac:dyDescent="0.4">
      <c r="A68" s="103"/>
      <c r="B68" s="82">
        <v>57</v>
      </c>
      <c r="C68" s="81" t="s">
        <v>62</v>
      </c>
      <c r="D68" s="81">
        <v>62781000</v>
      </c>
      <c r="E68" s="107">
        <v>32000000</v>
      </c>
      <c r="F68" s="108"/>
      <c r="G68" s="107"/>
      <c r="H68" s="107">
        <v>32000000</v>
      </c>
      <c r="I68" s="107">
        <f t="shared" si="12"/>
        <v>37760000</v>
      </c>
      <c r="J68" s="81" t="s">
        <v>169</v>
      </c>
      <c r="K68" s="109" t="s">
        <v>3</v>
      </c>
      <c r="L68" s="112" t="s">
        <v>65</v>
      </c>
      <c r="M68" s="85">
        <v>46239</v>
      </c>
      <c r="N68" s="85">
        <f t="shared" si="24"/>
        <v>46242</v>
      </c>
      <c r="O68" s="82">
        <v>3</v>
      </c>
      <c r="P68" s="85">
        <f t="shared" si="25"/>
        <v>46263</v>
      </c>
      <c r="Q68" s="113">
        <v>46346</v>
      </c>
      <c r="R68" s="82">
        <v>30</v>
      </c>
      <c r="S68" s="85">
        <f t="shared" si="26"/>
        <v>46293</v>
      </c>
      <c r="T68" s="110" t="s">
        <v>44</v>
      </c>
      <c r="U68" s="111" t="s">
        <v>41</v>
      </c>
      <c r="V68" s="39">
        <v>0</v>
      </c>
      <c r="W68" s="111"/>
      <c r="X68" s="59"/>
    </row>
    <row r="69" spans="1:24" s="62" customFormat="1" ht="53.25" customHeight="1" thickTop="1" thickBot="1" x14ac:dyDescent="0.4">
      <c r="A69" s="67"/>
      <c r="B69" s="91">
        <v>58</v>
      </c>
      <c r="C69" s="95" t="s">
        <v>62</v>
      </c>
      <c r="D69" s="95">
        <v>62781000</v>
      </c>
      <c r="E69" s="96">
        <v>12000000</v>
      </c>
      <c r="F69" s="97"/>
      <c r="G69" s="96"/>
      <c r="H69" s="96">
        <f t="shared" si="11"/>
        <v>12000000</v>
      </c>
      <c r="I69" s="96">
        <f t="shared" si="12"/>
        <v>14160000</v>
      </c>
      <c r="J69" s="95" t="s">
        <v>114</v>
      </c>
      <c r="K69" s="98" t="s">
        <v>1</v>
      </c>
      <c r="L69" s="106" t="s">
        <v>65</v>
      </c>
      <c r="M69" s="90">
        <v>46239</v>
      </c>
      <c r="N69" s="90">
        <f t="shared" si="24"/>
        <v>46242</v>
      </c>
      <c r="O69" s="91">
        <v>3</v>
      </c>
      <c r="P69" s="90">
        <f t="shared" si="25"/>
        <v>46263</v>
      </c>
      <c r="Q69" s="102">
        <v>46346</v>
      </c>
      <c r="R69" s="91">
        <v>30</v>
      </c>
      <c r="S69" s="90">
        <f t="shared" si="26"/>
        <v>46293</v>
      </c>
      <c r="T69" s="42" t="s">
        <v>44</v>
      </c>
      <c r="U69" s="43" t="s">
        <v>41</v>
      </c>
      <c r="V69" s="45">
        <v>0</v>
      </c>
      <c r="W69" s="43"/>
      <c r="X69" s="61"/>
    </row>
    <row r="70" spans="1:24" s="155" customFormat="1" ht="53.25" customHeight="1" thickTop="1" thickBot="1" x14ac:dyDescent="0.4">
      <c r="A70" s="148"/>
      <c r="B70" s="149">
        <v>59</v>
      </c>
      <c r="C70" s="150" t="s">
        <v>62</v>
      </c>
      <c r="D70" s="150">
        <v>62781000</v>
      </c>
      <c r="E70" s="151">
        <f>3720000+2000000</f>
        <v>5720000</v>
      </c>
      <c r="F70" s="97"/>
      <c r="G70" s="96"/>
      <c r="H70" s="151">
        <f t="shared" si="11"/>
        <v>5720000</v>
      </c>
      <c r="I70" s="151">
        <f t="shared" si="12"/>
        <v>6749600</v>
      </c>
      <c r="J70" s="150" t="s">
        <v>115</v>
      </c>
      <c r="K70" s="156" t="s">
        <v>1</v>
      </c>
      <c r="L70" s="153" t="s">
        <v>65</v>
      </c>
      <c r="M70" s="154">
        <v>46239</v>
      </c>
      <c r="N70" s="154">
        <f t="shared" si="24"/>
        <v>46242</v>
      </c>
      <c r="O70" s="149">
        <v>3</v>
      </c>
      <c r="P70" s="154">
        <f t="shared" si="25"/>
        <v>46263</v>
      </c>
      <c r="Q70" s="102">
        <v>46346</v>
      </c>
      <c r="R70" s="149">
        <v>30</v>
      </c>
      <c r="S70" s="154">
        <f t="shared" si="26"/>
        <v>46293</v>
      </c>
      <c r="T70" s="42" t="s">
        <v>44</v>
      </c>
      <c r="U70" s="43" t="s">
        <v>41</v>
      </c>
      <c r="V70" s="45">
        <v>0</v>
      </c>
      <c r="W70" s="43"/>
      <c r="X70" s="61"/>
    </row>
    <row r="71" spans="1:24" s="147" customFormat="1" ht="45" customHeight="1" thickTop="1" thickBot="1" x14ac:dyDescent="0.4">
      <c r="A71" s="135"/>
      <c r="B71" s="136">
        <v>60</v>
      </c>
      <c r="C71" s="137" t="s">
        <v>62</v>
      </c>
      <c r="D71" s="137">
        <v>62781000</v>
      </c>
      <c r="E71" s="138">
        <v>16250000</v>
      </c>
      <c r="F71" s="139"/>
      <c r="G71" s="138"/>
      <c r="H71" s="138">
        <f t="shared" si="11"/>
        <v>16250000</v>
      </c>
      <c r="I71" s="138">
        <f t="shared" si="12"/>
        <v>19175000</v>
      </c>
      <c r="J71" s="137" t="s">
        <v>116</v>
      </c>
      <c r="K71" s="140" t="s">
        <v>1</v>
      </c>
      <c r="L71" s="141" t="s">
        <v>65</v>
      </c>
      <c r="M71" s="142">
        <v>46239</v>
      </c>
      <c r="N71" s="142">
        <f t="shared" si="24"/>
        <v>46242</v>
      </c>
      <c r="O71" s="136">
        <v>3</v>
      </c>
      <c r="P71" s="142">
        <f t="shared" si="25"/>
        <v>46263</v>
      </c>
      <c r="Q71" s="142">
        <v>46346</v>
      </c>
      <c r="R71" s="136">
        <v>21</v>
      </c>
      <c r="S71" s="142">
        <f t="shared" si="26"/>
        <v>46284</v>
      </c>
      <c r="T71" s="143" t="s">
        <v>44</v>
      </c>
      <c r="U71" s="144" t="s">
        <v>41</v>
      </c>
      <c r="V71" s="145">
        <v>0</v>
      </c>
      <c r="W71" s="144"/>
      <c r="X71" s="146"/>
    </row>
    <row r="72" spans="1:24" s="62" customFormat="1" ht="66" thickTop="1" thickBot="1" x14ac:dyDescent="0.4">
      <c r="A72" s="67"/>
      <c r="B72" s="91">
        <v>61</v>
      </c>
      <c r="C72" s="95" t="s">
        <v>62</v>
      </c>
      <c r="D72" s="95">
        <v>62781000</v>
      </c>
      <c r="E72" s="96">
        <v>16000000</v>
      </c>
      <c r="F72" s="97"/>
      <c r="G72" s="96"/>
      <c r="H72" s="83">
        <f t="shared" si="11"/>
        <v>16000000</v>
      </c>
      <c r="I72" s="96">
        <f t="shared" si="12"/>
        <v>18880000</v>
      </c>
      <c r="J72" s="95" t="s">
        <v>130</v>
      </c>
      <c r="K72" s="98" t="s">
        <v>0</v>
      </c>
      <c r="L72" s="106" t="s">
        <v>65</v>
      </c>
      <c r="M72" s="90" t="s">
        <v>134</v>
      </c>
      <c r="N72" s="90">
        <v>46339</v>
      </c>
      <c r="O72" s="95">
        <v>1</v>
      </c>
      <c r="P72" s="90">
        <v>46023</v>
      </c>
      <c r="Q72" s="99"/>
      <c r="R72" s="95">
        <v>30</v>
      </c>
      <c r="S72" s="90">
        <f>R72+P72+1</f>
        <v>46054</v>
      </c>
      <c r="T72" s="42"/>
      <c r="U72" s="43" t="s">
        <v>42</v>
      </c>
      <c r="V72" s="45">
        <v>0</v>
      </c>
      <c r="W72" s="43"/>
      <c r="X72" s="61"/>
    </row>
    <row r="73" spans="1:24" s="62" customFormat="1" ht="63" customHeight="1" thickTop="1" thickBot="1" x14ac:dyDescent="0.4">
      <c r="A73" s="67"/>
      <c r="B73" s="91">
        <v>62</v>
      </c>
      <c r="C73" s="95" t="s">
        <v>62</v>
      </c>
      <c r="D73" s="95">
        <v>62781000</v>
      </c>
      <c r="E73" s="96">
        <v>10000000</v>
      </c>
      <c r="F73" s="97"/>
      <c r="G73" s="96"/>
      <c r="H73" s="96">
        <f t="shared" si="11"/>
        <v>10000000</v>
      </c>
      <c r="I73" s="96">
        <f t="shared" si="12"/>
        <v>11800000</v>
      </c>
      <c r="J73" s="95" t="s">
        <v>117</v>
      </c>
      <c r="K73" s="98" t="s">
        <v>20</v>
      </c>
      <c r="L73" s="106" t="s">
        <v>65</v>
      </c>
      <c r="M73" s="90">
        <v>46091</v>
      </c>
      <c r="N73" s="90">
        <f t="shared" ref="N73:N74" si="27">+M73+3</f>
        <v>46094</v>
      </c>
      <c r="O73" s="91">
        <v>3</v>
      </c>
      <c r="P73" s="90">
        <f t="shared" ref="P73:P74" si="28">+N73+21</f>
        <v>46115</v>
      </c>
      <c r="Q73" s="102">
        <v>46346</v>
      </c>
      <c r="R73" s="91">
        <v>45</v>
      </c>
      <c r="S73" s="90">
        <f t="shared" ref="S73:S74" si="29">+P73+R73</f>
        <v>46160</v>
      </c>
      <c r="T73" s="42" t="s">
        <v>44</v>
      </c>
      <c r="U73" s="43" t="s">
        <v>41</v>
      </c>
      <c r="V73" s="45">
        <v>0</v>
      </c>
      <c r="W73" s="43"/>
      <c r="X73" s="61"/>
    </row>
    <row r="74" spans="1:24" s="62" customFormat="1" ht="62.25" customHeight="1" thickTop="1" thickBot="1" x14ac:dyDescent="0.4">
      <c r="A74" s="67"/>
      <c r="B74" s="91">
        <v>63</v>
      </c>
      <c r="C74" s="95" t="s">
        <v>62</v>
      </c>
      <c r="D74" s="95">
        <v>62781000</v>
      </c>
      <c r="E74" s="96">
        <v>10000000</v>
      </c>
      <c r="F74" s="97"/>
      <c r="G74" s="96"/>
      <c r="H74" s="96">
        <f t="shared" si="11"/>
        <v>10000000</v>
      </c>
      <c r="I74" s="96">
        <f t="shared" si="12"/>
        <v>11800000</v>
      </c>
      <c r="J74" s="95" t="s">
        <v>133</v>
      </c>
      <c r="K74" s="98" t="s">
        <v>118</v>
      </c>
      <c r="L74" s="106" t="s">
        <v>65</v>
      </c>
      <c r="M74" s="90">
        <v>46047</v>
      </c>
      <c r="N74" s="90">
        <f t="shared" si="27"/>
        <v>46050</v>
      </c>
      <c r="O74" s="91">
        <v>3</v>
      </c>
      <c r="P74" s="90">
        <f t="shared" si="28"/>
        <v>46071</v>
      </c>
      <c r="Q74" s="102">
        <v>46346</v>
      </c>
      <c r="R74" s="91">
        <v>45</v>
      </c>
      <c r="S74" s="90">
        <f t="shared" si="29"/>
        <v>46116</v>
      </c>
      <c r="T74" s="42" t="s">
        <v>44</v>
      </c>
      <c r="U74" s="43" t="s">
        <v>41</v>
      </c>
      <c r="V74" s="45">
        <v>0</v>
      </c>
      <c r="W74" s="43"/>
      <c r="X74" s="61"/>
    </row>
    <row r="75" spans="1:24" s="62" customFormat="1" ht="27" thickTop="1" thickBot="1" x14ac:dyDescent="0.4">
      <c r="A75" s="67"/>
      <c r="B75" s="91">
        <v>64</v>
      </c>
      <c r="C75" s="95" t="s">
        <v>62</v>
      </c>
      <c r="D75" s="95">
        <v>63243003</v>
      </c>
      <c r="E75" s="96">
        <v>15000000</v>
      </c>
      <c r="F75" s="97"/>
      <c r="G75" s="96"/>
      <c r="H75" s="83">
        <f t="shared" si="11"/>
        <v>15000000</v>
      </c>
      <c r="I75" s="96">
        <f t="shared" si="12"/>
        <v>17700000</v>
      </c>
      <c r="J75" s="95" t="s">
        <v>86</v>
      </c>
      <c r="K75" s="98" t="s">
        <v>40</v>
      </c>
      <c r="L75" s="106" t="s">
        <v>65</v>
      </c>
      <c r="M75" s="90">
        <v>46230</v>
      </c>
      <c r="N75" s="90">
        <v>46231</v>
      </c>
      <c r="O75" s="95">
        <v>1</v>
      </c>
      <c r="P75" s="90">
        <f>+N75+21</f>
        <v>46252</v>
      </c>
      <c r="Q75" s="99"/>
      <c r="R75" s="95">
        <v>45</v>
      </c>
      <c r="S75" s="90">
        <f>P75+R75</f>
        <v>46297</v>
      </c>
      <c r="T75" s="42"/>
      <c r="U75" s="43" t="s">
        <v>42</v>
      </c>
      <c r="V75" s="45">
        <v>0</v>
      </c>
      <c r="W75" s="43"/>
      <c r="X75" s="61"/>
    </row>
    <row r="76" spans="1:24" s="62" customFormat="1" ht="54" customHeight="1" thickTop="1" thickBot="1" x14ac:dyDescent="0.4">
      <c r="A76" s="67"/>
      <c r="B76" s="91">
        <v>65</v>
      </c>
      <c r="C76" s="95" t="s">
        <v>62</v>
      </c>
      <c r="D76" s="95">
        <v>63243004</v>
      </c>
      <c r="E76" s="96">
        <v>5000000</v>
      </c>
      <c r="F76" s="97"/>
      <c r="G76" s="96"/>
      <c r="H76" s="83">
        <f t="shared" si="11"/>
        <v>5000000</v>
      </c>
      <c r="I76" s="96">
        <f t="shared" si="12"/>
        <v>5900000</v>
      </c>
      <c r="J76" s="95" t="s">
        <v>149</v>
      </c>
      <c r="K76" s="98" t="s">
        <v>40</v>
      </c>
      <c r="L76" s="106" t="s">
        <v>65</v>
      </c>
      <c r="M76" s="90">
        <v>46146</v>
      </c>
      <c r="N76" s="90">
        <f>+M76+1</f>
        <v>46147</v>
      </c>
      <c r="O76" s="95">
        <v>1</v>
      </c>
      <c r="P76" s="90">
        <f>+N76+21</f>
        <v>46168</v>
      </c>
      <c r="Q76" s="99"/>
      <c r="R76" s="95">
        <v>45</v>
      </c>
      <c r="S76" s="90">
        <f t="shared" ref="S76:S77" si="30">P76+R76</f>
        <v>46213</v>
      </c>
      <c r="T76" s="42"/>
      <c r="U76" s="43" t="s">
        <v>42</v>
      </c>
      <c r="V76" s="45">
        <v>0</v>
      </c>
      <c r="W76" s="43"/>
      <c r="X76" s="61"/>
    </row>
    <row r="77" spans="1:24" s="62" customFormat="1" ht="27" thickTop="1" thickBot="1" x14ac:dyDescent="0.4">
      <c r="A77" s="67"/>
      <c r="B77" s="91">
        <v>66</v>
      </c>
      <c r="C77" s="95" t="s">
        <v>62</v>
      </c>
      <c r="D77" s="95">
        <v>63243004</v>
      </c>
      <c r="E77" s="96">
        <v>13000000</v>
      </c>
      <c r="F77" s="97"/>
      <c r="G77" s="96"/>
      <c r="H77" s="83">
        <f t="shared" si="11"/>
        <v>13000000</v>
      </c>
      <c r="I77" s="96">
        <f t="shared" si="12"/>
        <v>15340000</v>
      </c>
      <c r="J77" s="95" t="s">
        <v>150</v>
      </c>
      <c r="K77" s="98" t="s">
        <v>40</v>
      </c>
      <c r="L77" s="106" t="s">
        <v>65</v>
      </c>
      <c r="M77" s="90">
        <v>46261</v>
      </c>
      <c r="N77" s="90">
        <f>+M77+1</f>
        <v>46262</v>
      </c>
      <c r="O77" s="95">
        <v>1</v>
      </c>
      <c r="P77" s="90">
        <f>+N77+21</f>
        <v>46283</v>
      </c>
      <c r="Q77" s="99"/>
      <c r="R77" s="95">
        <v>45</v>
      </c>
      <c r="S77" s="90">
        <f t="shared" si="30"/>
        <v>46328</v>
      </c>
      <c r="T77" s="42"/>
      <c r="U77" s="43" t="s">
        <v>42</v>
      </c>
      <c r="V77" s="45">
        <v>0</v>
      </c>
      <c r="W77" s="43"/>
      <c r="X77" s="61"/>
    </row>
    <row r="78" spans="1:24" s="130" customFormat="1" ht="27" thickTop="1" thickBot="1" x14ac:dyDescent="0.4">
      <c r="A78" s="120"/>
      <c r="B78" s="121">
        <v>67</v>
      </c>
      <c r="C78" s="122" t="s">
        <v>62</v>
      </c>
      <c r="D78" s="122">
        <v>63243005</v>
      </c>
      <c r="E78" s="123">
        <v>20700000</v>
      </c>
      <c r="F78" s="124"/>
      <c r="G78" s="123"/>
      <c r="H78" s="123">
        <f t="shared" si="11"/>
        <v>20700000</v>
      </c>
      <c r="I78" s="123">
        <f t="shared" si="12"/>
        <v>24426000</v>
      </c>
      <c r="J78" s="122" t="s">
        <v>165</v>
      </c>
      <c r="K78" s="125" t="s">
        <v>135</v>
      </c>
      <c r="L78" s="126" t="s">
        <v>65</v>
      </c>
      <c r="M78" s="127">
        <v>46001</v>
      </c>
      <c r="N78" s="127">
        <f>+M78+1</f>
        <v>46002</v>
      </c>
      <c r="O78" s="122">
        <v>1</v>
      </c>
      <c r="P78" s="127">
        <f>+N78+30</f>
        <v>46032</v>
      </c>
      <c r="Q78" s="128"/>
      <c r="R78" s="122">
        <v>360</v>
      </c>
      <c r="S78" s="127">
        <v>46105</v>
      </c>
      <c r="T78" s="44" t="s">
        <v>47</v>
      </c>
      <c r="U78" s="40" t="s">
        <v>47</v>
      </c>
      <c r="V78" s="41">
        <v>1</v>
      </c>
      <c r="W78" s="40"/>
      <c r="X78" s="129"/>
    </row>
    <row r="79" spans="1:24" s="62" customFormat="1" ht="27" thickTop="1" thickBot="1" x14ac:dyDescent="0.4">
      <c r="A79" s="67"/>
      <c r="B79" s="91">
        <v>68</v>
      </c>
      <c r="C79" s="95" t="s">
        <v>62</v>
      </c>
      <c r="D79" s="95">
        <v>63300000</v>
      </c>
      <c r="E79" s="96">
        <v>130000000</v>
      </c>
      <c r="F79" s="97"/>
      <c r="G79" s="96"/>
      <c r="H79" s="83">
        <f t="shared" si="11"/>
        <v>130000000</v>
      </c>
      <c r="I79" s="96">
        <f t="shared" si="12"/>
        <v>153400000</v>
      </c>
      <c r="J79" s="95" t="s">
        <v>166</v>
      </c>
      <c r="K79" s="98" t="s">
        <v>20</v>
      </c>
      <c r="L79" s="106" t="s">
        <v>65</v>
      </c>
      <c r="M79" s="90">
        <v>46047</v>
      </c>
      <c r="N79" s="90">
        <f>+M79+10</f>
        <v>46057</v>
      </c>
      <c r="O79" s="95">
        <v>1</v>
      </c>
      <c r="P79" s="90">
        <f>+N79+21</f>
        <v>46078</v>
      </c>
      <c r="Q79" s="99"/>
      <c r="R79" s="95">
        <v>14</v>
      </c>
      <c r="S79" s="90">
        <v>46387</v>
      </c>
      <c r="T79" s="42"/>
      <c r="U79" s="43" t="s">
        <v>42</v>
      </c>
      <c r="V79" s="45">
        <v>0</v>
      </c>
      <c r="W79" s="43"/>
      <c r="X79" s="61"/>
    </row>
    <row r="80" spans="1:24" s="62" customFormat="1" ht="27" thickTop="1" thickBot="1" x14ac:dyDescent="0.4">
      <c r="A80" s="67"/>
      <c r="B80" s="91">
        <v>69</v>
      </c>
      <c r="C80" s="95" t="s">
        <v>62</v>
      </c>
      <c r="D80" s="95">
        <v>63711000</v>
      </c>
      <c r="E80" s="96">
        <f>172950000/1.18</f>
        <v>146567796.6101695</v>
      </c>
      <c r="F80" s="97"/>
      <c r="G80" s="96"/>
      <c r="H80" s="83">
        <f t="shared" si="11"/>
        <v>146567796.6101695</v>
      </c>
      <c r="I80" s="96">
        <f t="shared" si="12"/>
        <v>172950000</v>
      </c>
      <c r="J80" s="95" t="s">
        <v>48</v>
      </c>
      <c r="K80" s="98" t="s">
        <v>156</v>
      </c>
      <c r="L80" s="98" t="s">
        <v>63</v>
      </c>
      <c r="M80" s="85">
        <v>45986</v>
      </c>
      <c r="N80" s="85">
        <f t="shared" ref="N80:N82" si="31">M80+30</f>
        <v>46016</v>
      </c>
      <c r="O80" s="82">
        <v>6</v>
      </c>
      <c r="P80" s="85">
        <v>46023</v>
      </c>
      <c r="Q80" s="99"/>
      <c r="R80" s="82">
        <v>360</v>
      </c>
      <c r="S80" s="85">
        <v>46387</v>
      </c>
      <c r="T80" s="42" t="s">
        <v>47</v>
      </c>
      <c r="U80" s="43" t="s">
        <v>47</v>
      </c>
      <c r="V80" s="45">
        <v>1</v>
      </c>
      <c r="W80" s="43"/>
      <c r="X80" s="61"/>
    </row>
    <row r="81" spans="1:24" s="62" customFormat="1" ht="27" thickTop="1" thickBot="1" x14ac:dyDescent="0.4">
      <c r="A81" s="67"/>
      <c r="B81" s="91">
        <v>70</v>
      </c>
      <c r="C81" s="95" t="s">
        <v>62</v>
      </c>
      <c r="D81" s="95">
        <v>63711001</v>
      </c>
      <c r="E81" s="96">
        <f>160000000/1.18</f>
        <v>135593220.33898306</v>
      </c>
      <c r="F81" s="97"/>
      <c r="G81" s="96"/>
      <c r="H81" s="83">
        <f t="shared" si="11"/>
        <v>135593220.33898306</v>
      </c>
      <c r="I81" s="96">
        <f t="shared" si="12"/>
        <v>160000000</v>
      </c>
      <c r="J81" s="95" t="s">
        <v>49</v>
      </c>
      <c r="K81" s="98" t="s">
        <v>157</v>
      </c>
      <c r="L81" s="98" t="s">
        <v>63</v>
      </c>
      <c r="M81" s="85">
        <v>45986</v>
      </c>
      <c r="N81" s="85">
        <f t="shared" si="31"/>
        <v>46016</v>
      </c>
      <c r="O81" s="82">
        <v>6</v>
      </c>
      <c r="P81" s="85">
        <v>46023</v>
      </c>
      <c r="Q81" s="99"/>
      <c r="R81" s="82">
        <v>360</v>
      </c>
      <c r="S81" s="85">
        <v>46387</v>
      </c>
      <c r="T81" s="42" t="s">
        <v>47</v>
      </c>
      <c r="U81" s="43" t="s">
        <v>47</v>
      </c>
      <c r="V81" s="45">
        <v>1</v>
      </c>
      <c r="W81" s="43"/>
      <c r="X81" s="61"/>
    </row>
    <row r="82" spans="1:24" s="62" customFormat="1" ht="40" thickTop="1" thickBot="1" x14ac:dyDescent="0.4">
      <c r="A82" s="67"/>
      <c r="B82" s="91">
        <v>71</v>
      </c>
      <c r="C82" s="95" t="s">
        <v>62</v>
      </c>
      <c r="D82" s="95">
        <v>63711002</v>
      </c>
      <c r="E82" s="96">
        <f>287000000/1.18</f>
        <v>243220338.98305085</v>
      </c>
      <c r="F82" s="97"/>
      <c r="G82" s="96"/>
      <c r="H82" s="83">
        <f t="shared" si="11"/>
        <v>243220338.98305085</v>
      </c>
      <c r="I82" s="96">
        <f t="shared" si="12"/>
        <v>287000000</v>
      </c>
      <c r="J82" s="95" t="s">
        <v>120</v>
      </c>
      <c r="K82" s="98" t="s">
        <v>157</v>
      </c>
      <c r="L82" s="98" t="s">
        <v>63</v>
      </c>
      <c r="M82" s="85">
        <v>45986</v>
      </c>
      <c r="N82" s="85">
        <f t="shared" si="31"/>
        <v>46016</v>
      </c>
      <c r="O82" s="82">
        <v>6</v>
      </c>
      <c r="P82" s="85">
        <v>46023</v>
      </c>
      <c r="Q82" s="99"/>
      <c r="R82" s="82">
        <v>360</v>
      </c>
      <c r="S82" s="85">
        <v>46387</v>
      </c>
      <c r="T82" s="42" t="s">
        <v>47</v>
      </c>
      <c r="U82" s="43" t="s">
        <v>47</v>
      </c>
      <c r="V82" s="45">
        <v>1</v>
      </c>
      <c r="W82" s="43"/>
      <c r="X82" s="61"/>
    </row>
    <row r="83" spans="1:24" s="62" customFormat="1" ht="37.5" customHeight="1" thickTop="1" thickBot="1" x14ac:dyDescent="0.4">
      <c r="A83" s="67"/>
      <c r="B83" s="91">
        <v>72</v>
      </c>
      <c r="C83" s="95" t="s">
        <v>62</v>
      </c>
      <c r="D83" s="95">
        <v>6383000</v>
      </c>
      <c r="E83" s="96">
        <v>40000000</v>
      </c>
      <c r="F83" s="97"/>
      <c r="G83" s="96"/>
      <c r="H83" s="83">
        <f t="shared" si="11"/>
        <v>40000000</v>
      </c>
      <c r="I83" s="96">
        <f t="shared" si="12"/>
        <v>47200000</v>
      </c>
      <c r="J83" s="95" t="s">
        <v>119</v>
      </c>
      <c r="K83" s="98" t="s">
        <v>75</v>
      </c>
      <c r="L83" s="98" t="s">
        <v>63</v>
      </c>
      <c r="M83" s="90">
        <v>45986</v>
      </c>
      <c r="N83" s="90">
        <f t="shared" ref="N83:N84" si="32">+M83+3</f>
        <v>45989</v>
      </c>
      <c r="O83" s="91">
        <v>3</v>
      </c>
      <c r="P83" s="92">
        <f t="shared" ref="P83:P84" si="33">+N83+21</f>
        <v>46010</v>
      </c>
      <c r="Q83" s="99"/>
      <c r="R83" s="94">
        <v>45</v>
      </c>
      <c r="S83" s="92">
        <f t="shared" ref="S83:S84" si="34">+P83+R83</f>
        <v>46055</v>
      </c>
      <c r="T83" s="42" t="s">
        <v>47</v>
      </c>
      <c r="U83" s="43" t="s">
        <v>47</v>
      </c>
      <c r="V83" s="45">
        <v>1</v>
      </c>
      <c r="W83" s="43"/>
      <c r="X83" s="61"/>
    </row>
    <row r="84" spans="1:24" s="62" customFormat="1" ht="40" thickTop="1" thickBot="1" x14ac:dyDescent="0.4">
      <c r="A84" s="67"/>
      <c r="B84" s="91">
        <v>73</v>
      </c>
      <c r="C84" s="95" t="s">
        <v>62</v>
      </c>
      <c r="D84" s="95">
        <v>63711002</v>
      </c>
      <c r="E84" s="96">
        <v>93000000</v>
      </c>
      <c r="F84" s="97"/>
      <c r="G84" s="96"/>
      <c r="H84" s="83">
        <f t="shared" si="11"/>
        <v>93000000</v>
      </c>
      <c r="I84" s="96">
        <f t="shared" si="12"/>
        <v>109740000</v>
      </c>
      <c r="J84" s="95" t="s">
        <v>88</v>
      </c>
      <c r="K84" s="98" t="s">
        <v>75</v>
      </c>
      <c r="L84" s="98" t="s">
        <v>63</v>
      </c>
      <c r="M84" s="90">
        <v>46159</v>
      </c>
      <c r="N84" s="90">
        <f t="shared" si="32"/>
        <v>46162</v>
      </c>
      <c r="O84" s="91">
        <v>3</v>
      </c>
      <c r="P84" s="92">
        <f t="shared" si="33"/>
        <v>46183</v>
      </c>
      <c r="Q84" s="99"/>
      <c r="R84" s="94">
        <v>45</v>
      </c>
      <c r="S84" s="92">
        <f t="shared" si="34"/>
        <v>46228</v>
      </c>
      <c r="T84" s="42" t="s">
        <v>47</v>
      </c>
      <c r="U84" s="43" t="s">
        <v>47</v>
      </c>
      <c r="V84" s="45">
        <v>1</v>
      </c>
      <c r="W84" s="43"/>
      <c r="X84" s="61"/>
    </row>
    <row r="85" spans="1:24" ht="29.25" customHeight="1" thickTop="1" thickBot="1" x14ac:dyDescent="0.4">
      <c r="B85" s="160" t="s">
        <v>76</v>
      </c>
      <c r="C85" s="160"/>
      <c r="D85" s="160"/>
      <c r="E85" s="115">
        <f>SUM(E32:E84)</f>
        <v>2218477435.9322033</v>
      </c>
      <c r="F85" s="116">
        <f>SUM(F32:F84)</f>
        <v>0</v>
      </c>
      <c r="G85" s="115">
        <f>SUM(G32:G84)</f>
        <v>0</v>
      </c>
      <c r="H85" s="115">
        <f>SUM(H32:H84)</f>
        <v>2218477435.9322033</v>
      </c>
      <c r="I85" s="115">
        <f>SUM(I32:I84)</f>
        <v>2558223374.4000001</v>
      </c>
      <c r="J85" s="114"/>
      <c r="K85" s="162"/>
      <c r="L85" s="162"/>
      <c r="M85" s="162"/>
      <c r="N85" s="162"/>
      <c r="O85" s="162"/>
      <c r="P85" s="162"/>
      <c r="Q85" s="162"/>
      <c r="R85" s="162"/>
      <c r="S85" s="162"/>
      <c r="T85" s="44"/>
      <c r="U85" s="40"/>
      <c r="V85" s="41"/>
      <c r="W85" s="40"/>
    </row>
    <row r="86" spans="1:24" ht="25.5" customHeight="1" thickTop="1" thickBot="1" x14ac:dyDescent="0.4">
      <c r="B86" s="163" t="s">
        <v>10</v>
      </c>
      <c r="C86" s="163"/>
      <c r="D86" s="163"/>
      <c r="E86" s="117">
        <f>E85+E30</f>
        <v>7148677435.9322033</v>
      </c>
      <c r="F86" s="118">
        <f>F85+F30</f>
        <v>0</v>
      </c>
      <c r="G86" s="117">
        <f>G85+G30</f>
        <v>0</v>
      </c>
      <c r="H86" s="117">
        <f>H85+H30</f>
        <v>7148677435.9322033</v>
      </c>
      <c r="I86" s="117">
        <f>I85+I30</f>
        <v>8375859374.3999996</v>
      </c>
      <c r="J86" s="119"/>
      <c r="K86" s="164"/>
      <c r="L86" s="164"/>
      <c r="M86" s="164"/>
      <c r="N86" s="164"/>
      <c r="O86" s="164"/>
      <c r="P86" s="164"/>
      <c r="Q86" s="164"/>
      <c r="R86" s="164"/>
      <c r="S86" s="164"/>
      <c r="T86" s="37"/>
      <c r="U86" s="38" t="s">
        <v>42</v>
      </c>
      <c r="V86" s="39">
        <v>0</v>
      </c>
      <c r="W86" s="38"/>
    </row>
    <row r="87" spans="1:24" ht="15" thickTop="1" x14ac:dyDescent="0.35"/>
    <row r="89" spans="1:24" ht="15" thickBot="1" x14ac:dyDescent="0.4">
      <c r="J89" s="132"/>
      <c r="L89" s="133"/>
    </row>
    <row r="90" spans="1:24" ht="15.5" thickTop="1" thickBot="1" x14ac:dyDescent="0.4">
      <c r="H90" s="96"/>
      <c r="I90" s="96"/>
      <c r="J90" s="95"/>
      <c r="K90" s="98"/>
      <c r="L90" s="106"/>
      <c r="M90" s="134"/>
      <c r="N90" s="90"/>
      <c r="O90" s="91"/>
      <c r="P90" s="90"/>
      <c r="Q90" s="99"/>
      <c r="R90" s="91"/>
      <c r="S90" s="90"/>
    </row>
    <row r="91" spans="1:24" ht="15.5" thickTop="1" thickBot="1" x14ac:dyDescent="0.4">
      <c r="H91" s="107"/>
      <c r="I91" s="107"/>
      <c r="J91" s="81"/>
      <c r="K91" s="109"/>
      <c r="L91" s="106"/>
      <c r="M91" s="73"/>
    </row>
    <row r="92" spans="1:24" ht="15" thickTop="1" x14ac:dyDescent="0.35"/>
  </sheetData>
  <autoFilter ref="B7:Y86" xr:uid="{CDD12793-8D14-409D-9777-45566BDD4688}"/>
  <mergeCells count="19">
    <mergeCell ref="B85:D85"/>
    <mergeCell ref="K85:S85"/>
    <mergeCell ref="B86:D86"/>
    <mergeCell ref="K86:S86"/>
    <mergeCell ref="C31:S31"/>
    <mergeCell ref="B35:B36"/>
    <mergeCell ref="K35:K36"/>
    <mergeCell ref="L35:L36"/>
    <mergeCell ref="M35:M36"/>
    <mergeCell ref="N35:N36"/>
    <mergeCell ref="O35:O36"/>
    <mergeCell ref="P35:P36"/>
    <mergeCell ref="R35:R36"/>
    <mergeCell ref="S35:S36"/>
    <mergeCell ref="D5:S5"/>
    <mergeCell ref="C6:S6"/>
    <mergeCell ref="C8:S8"/>
    <mergeCell ref="C30:D30"/>
    <mergeCell ref="J30:S30"/>
  </mergeCells>
  <conditionalFormatting sqref="V10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{BC889BAB-0939-47F9-8098-3194BB1D4BD5}</x14:id>
        </ext>
      </extLst>
    </cfRule>
  </conditionalFormatting>
  <conditionalFormatting sqref="V11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{91B16E68-8253-4FC3-9C42-C74163295990}</x14:id>
        </ext>
      </extLst>
    </cfRule>
  </conditionalFormatting>
  <conditionalFormatting sqref="V12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{BA5C0BAE-C29A-4C9D-AE0C-4A911D43FC10}</x14:id>
        </ext>
      </extLst>
    </cfRule>
  </conditionalFormatting>
  <conditionalFormatting sqref="V13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{259CC766-4CCF-40DF-AF2B-BE5DFA4AF813}</x14:id>
        </ext>
      </extLst>
    </cfRule>
  </conditionalFormatting>
  <conditionalFormatting sqref="V14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{D4FD21DB-6440-4839-9433-CC10369F77EA}</x14:id>
        </ext>
      </extLst>
    </cfRule>
  </conditionalFormatting>
  <conditionalFormatting sqref="V15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{52786D20-2E5D-4981-AEF0-29251DE09876}</x14:id>
        </ext>
      </extLst>
    </cfRule>
  </conditionalFormatting>
  <conditionalFormatting sqref="V1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{77CF1BB6-D880-427D-A553-824EBFCAA6FB}</x14:id>
        </ext>
      </extLst>
    </cfRule>
  </conditionalFormatting>
  <conditionalFormatting sqref="V17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{A58776EE-B1F8-48A7-BCD1-AC1123C8F7E2}</x14:id>
        </ext>
      </extLst>
    </cfRule>
  </conditionalFormatting>
  <conditionalFormatting sqref="V18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{41E75041-7AC5-44F9-AC0D-656F693961B2}</x14:id>
        </ext>
      </extLst>
    </cfRule>
  </conditionalFormatting>
  <conditionalFormatting sqref="V19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{9E3298A0-6915-4C30-8144-A833EB2C6DAA}</x14:id>
        </ext>
      </extLst>
    </cfRule>
  </conditionalFormatting>
  <conditionalFormatting sqref="V20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{B4683062-7098-4748-9AF9-FAB00B6C9299}</x14:id>
        </ext>
      </extLst>
    </cfRule>
  </conditionalFormatting>
  <conditionalFormatting sqref="V21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{A72673B7-7751-4016-9719-92AAAA3DAF4E}</x14:id>
        </ext>
      </extLst>
    </cfRule>
  </conditionalFormatting>
  <conditionalFormatting sqref="V2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{BACAD49D-E31C-49B4-B452-34676DD0E161}</x14:id>
        </ext>
      </extLst>
    </cfRule>
  </conditionalFormatting>
  <conditionalFormatting sqref="V23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{0C784A23-4578-400E-AD73-326168563BC6}</x14:id>
        </ext>
      </extLst>
    </cfRule>
  </conditionalFormatting>
  <conditionalFormatting sqref="V24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{972016F4-D6C8-49A2-8254-A89712B002F9}</x14:id>
        </ext>
      </extLst>
    </cfRule>
  </conditionalFormatting>
  <conditionalFormatting sqref="V2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{293ABA17-13BD-4F15-825F-BAC8E1389864}</x14:id>
        </ext>
      </extLst>
    </cfRule>
  </conditionalFormatting>
  <conditionalFormatting sqref="V2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{49634F62-A6E6-4FE4-97F3-6B75D35AA57D}</x14:id>
        </ext>
      </extLst>
    </cfRule>
  </conditionalFormatting>
  <conditionalFormatting sqref="V27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{F2E31E6E-2171-47C5-813E-CE91CB7970C3}</x14:id>
        </ext>
      </extLst>
    </cfRule>
  </conditionalFormatting>
  <conditionalFormatting sqref="V2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{0C2B7C94-DE7C-4FB8-AFC3-2F176C818253}</x14:id>
        </ext>
      </extLst>
    </cfRule>
  </conditionalFormatting>
  <conditionalFormatting sqref="V2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{A7C13535-5020-4DDE-9CCA-5F0B6B224AFC}</x14:id>
        </ext>
      </extLst>
    </cfRule>
  </conditionalFormatting>
  <conditionalFormatting sqref="V34">
    <cfRule type="dataBar" priority="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{55FCC3B8-E96B-4AE2-AEF5-0CFE86DE50BC}</x14:id>
        </ext>
      </extLst>
    </cfRule>
  </conditionalFormatting>
  <conditionalFormatting sqref="V41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{70170FF4-13A8-4E17-998F-0CE908415AFF}</x14:id>
        </ext>
      </extLst>
    </cfRule>
  </conditionalFormatting>
  <conditionalFormatting sqref="V44">
    <cfRule type="dataBar" priority="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{6C41058D-5D54-46C7-8A03-2239C149FFDA}</x14:id>
        </ext>
      </extLst>
    </cfRule>
  </conditionalFormatting>
  <conditionalFormatting sqref="V45:V46"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{5691A763-4B86-4EB9-BE48-2B528DCA4CD1}</x14:id>
        </ext>
      </extLst>
    </cfRule>
  </conditionalFormatting>
  <conditionalFormatting sqref="V52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{95102E1D-1F7B-40A5-892B-4AE09ACF80DF}</x14:id>
        </ext>
      </extLst>
    </cfRule>
  </conditionalFormatting>
  <conditionalFormatting sqref="V53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{C76FD2CC-13BB-4D56-9DF2-5BF2408E60C8}</x14:id>
        </ext>
      </extLst>
    </cfRule>
  </conditionalFormatting>
  <conditionalFormatting sqref="V54">
    <cfRule type="dataBar" priority="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{6A1B9C57-E9D8-4D9E-BF45-53FBA7AC36DB}</x14:id>
        </ext>
      </extLst>
    </cfRule>
  </conditionalFormatting>
  <conditionalFormatting sqref="V55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{63EC4009-6650-42EA-B4E7-AD7317C21837}</x14:id>
        </ext>
      </extLst>
    </cfRule>
  </conditionalFormatting>
  <conditionalFormatting sqref="V56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{4D83EB27-7FCD-4A92-A7D3-391F03BFFE01}</x14:id>
        </ext>
      </extLst>
    </cfRule>
  </conditionalFormatting>
  <conditionalFormatting sqref="V61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{383E748C-6FFE-416B-8459-928D21EE3C2C}</x14:id>
        </ext>
      </extLst>
    </cfRule>
  </conditionalFormatting>
  <conditionalFormatting sqref="V63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{77D86DA6-DE39-4326-9934-886E01E89CD4}</x14:id>
        </ext>
      </extLst>
    </cfRule>
  </conditionalFormatting>
  <conditionalFormatting sqref="V6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{B2628541-068C-4B75-A2E6-3711C72AE7C5}</x14:id>
        </ext>
      </extLst>
    </cfRule>
  </conditionalFormatting>
  <conditionalFormatting sqref="V68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{8C2658F8-4F15-4849-B858-5084B8E62DE2}</x14:id>
        </ext>
      </extLst>
    </cfRule>
  </conditionalFormatting>
  <conditionalFormatting sqref="V69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{D66E85AC-2D07-45C0-89A0-DB5C83615CD0}</x14:id>
        </ext>
      </extLst>
    </cfRule>
  </conditionalFormatting>
  <conditionalFormatting sqref="V70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{158D5CBE-9C84-40C2-8818-3846B4F5278F}</x14:id>
        </ext>
      </extLst>
    </cfRule>
  </conditionalFormatting>
  <conditionalFormatting sqref="V71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{DEEF2CAF-F297-4855-89E6-519C2FD2D826}</x14:id>
        </ext>
      </extLst>
    </cfRule>
  </conditionalFormatting>
  <conditionalFormatting sqref="V73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{DF5FD55B-6AAE-4A4B-93BE-22D11B5B5B0B}</x14:id>
        </ext>
      </extLst>
    </cfRule>
  </conditionalFormatting>
  <conditionalFormatting sqref="V74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{F5B6F937-8276-4F02-A52F-1596F7ADF194}</x14:id>
        </ext>
      </extLst>
    </cfRule>
  </conditionalFormatting>
  <conditionalFormatting sqref="V83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{AA742FEA-64ED-4BC7-A924-0C842423C084}</x14:id>
        </ext>
      </extLst>
    </cfRule>
  </conditionalFormatting>
  <conditionalFormatting sqref="V84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{BD493209-A2F6-4DF3-A43E-0AD982342587}</x14:id>
        </ext>
      </extLst>
    </cfRule>
  </conditionalFormatting>
  <conditionalFormatting sqref="V85:V86 V9 V47:V51 V30:V33 V35:V40 V42:V43 V57:V60 V62 V64:V65 V67 V72 V75:V82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{BB788542-A5E5-4B04-BD90-6DAA5814EC47}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Page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889BAB-0939-47F9-8098-3194BB1D4BD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V10</xm:sqref>
        </x14:conditionalFormatting>
        <x14:conditionalFormatting xmlns:xm="http://schemas.microsoft.com/office/excel/2006/main">
          <x14:cfRule type="dataBar" id="{91B16E68-8253-4FC3-9C42-C7416329599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V11</xm:sqref>
        </x14:conditionalFormatting>
        <x14:conditionalFormatting xmlns:xm="http://schemas.microsoft.com/office/excel/2006/main">
          <x14:cfRule type="dataBar" id="{BA5C0BAE-C29A-4C9D-AE0C-4A911D43FC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V12</xm:sqref>
        </x14:conditionalFormatting>
        <x14:conditionalFormatting xmlns:xm="http://schemas.microsoft.com/office/excel/2006/main">
          <x14:cfRule type="dataBar" id="{259CC766-4CCF-40DF-AF2B-BE5DFA4AF81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V13</xm:sqref>
        </x14:conditionalFormatting>
        <x14:conditionalFormatting xmlns:xm="http://schemas.microsoft.com/office/excel/2006/main">
          <x14:cfRule type="dataBar" id="{D4FD21DB-6440-4839-9433-CC10369F77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V14</xm:sqref>
        </x14:conditionalFormatting>
        <x14:conditionalFormatting xmlns:xm="http://schemas.microsoft.com/office/excel/2006/main">
          <x14:cfRule type="dataBar" id="{52786D20-2E5D-4981-AEF0-29251DE0987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V15</xm:sqref>
        </x14:conditionalFormatting>
        <x14:conditionalFormatting xmlns:xm="http://schemas.microsoft.com/office/excel/2006/main">
          <x14:cfRule type="dataBar" id="{77CF1BB6-D880-427D-A553-824EBFCAA6F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V16</xm:sqref>
        </x14:conditionalFormatting>
        <x14:conditionalFormatting xmlns:xm="http://schemas.microsoft.com/office/excel/2006/main">
          <x14:cfRule type="dataBar" id="{A58776EE-B1F8-48A7-BCD1-AC1123C8F7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V17</xm:sqref>
        </x14:conditionalFormatting>
        <x14:conditionalFormatting xmlns:xm="http://schemas.microsoft.com/office/excel/2006/main">
          <x14:cfRule type="dataBar" id="{41E75041-7AC5-44F9-AC0D-656F69396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V18</xm:sqref>
        </x14:conditionalFormatting>
        <x14:conditionalFormatting xmlns:xm="http://schemas.microsoft.com/office/excel/2006/main">
          <x14:cfRule type="dataBar" id="{9E3298A0-6915-4C30-8144-A833EB2C6D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V19</xm:sqref>
        </x14:conditionalFormatting>
        <x14:conditionalFormatting xmlns:xm="http://schemas.microsoft.com/office/excel/2006/main">
          <x14:cfRule type="dataBar" id="{B4683062-7098-4748-9AF9-FAB00B6C92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V20</xm:sqref>
        </x14:conditionalFormatting>
        <x14:conditionalFormatting xmlns:xm="http://schemas.microsoft.com/office/excel/2006/main">
          <x14:cfRule type="dataBar" id="{A72673B7-7751-4016-9719-92AAAA3DAF4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BACAD49D-E31C-49B4-B452-34676DD0E1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V22</xm:sqref>
        </x14:conditionalFormatting>
        <x14:conditionalFormatting xmlns:xm="http://schemas.microsoft.com/office/excel/2006/main">
          <x14:cfRule type="dataBar" id="{0C784A23-4578-400E-AD73-326168563BC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</xm:sqref>
        </x14:conditionalFormatting>
        <x14:conditionalFormatting xmlns:xm="http://schemas.microsoft.com/office/excel/2006/main">
          <x14:cfRule type="dataBar" id="{972016F4-D6C8-49A2-8254-A89712B002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V24</xm:sqref>
        </x14:conditionalFormatting>
        <x14:conditionalFormatting xmlns:xm="http://schemas.microsoft.com/office/excel/2006/main">
          <x14:cfRule type="dataBar" id="{293ABA17-13BD-4F15-825F-BAC8E138986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V25</xm:sqref>
        </x14:conditionalFormatting>
        <x14:conditionalFormatting xmlns:xm="http://schemas.microsoft.com/office/excel/2006/main">
          <x14:cfRule type="dataBar" id="{49634F62-A6E6-4FE4-97F3-6B75D35AA57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V26</xm:sqref>
        </x14:conditionalFormatting>
        <x14:conditionalFormatting xmlns:xm="http://schemas.microsoft.com/office/excel/2006/main">
          <x14:cfRule type="dataBar" id="{F2E31E6E-2171-47C5-813E-CE91CB7970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V27</xm:sqref>
        </x14:conditionalFormatting>
        <x14:conditionalFormatting xmlns:xm="http://schemas.microsoft.com/office/excel/2006/main">
          <x14:cfRule type="dataBar" id="{0C2B7C94-DE7C-4FB8-AFC3-2F176C8182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V28</xm:sqref>
        </x14:conditionalFormatting>
        <x14:conditionalFormatting xmlns:xm="http://schemas.microsoft.com/office/excel/2006/main">
          <x14:cfRule type="dataBar" id="{A7C13535-5020-4DDE-9CCA-5F0B6B224A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V29</xm:sqref>
        </x14:conditionalFormatting>
        <x14:conditionalFormatting xmlns:xm="http://schemas.microsoft.com/office/excel/2006/main">
          <x14:cfRule type="dataBar" id="{55FCC3B8-E96B-4AE2-AEF5-0CFE86DE50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V34</xm:sqref>
        </x14:conditionalFormatting>
        <x14:conditionalFormatting xmlns:xm="http://schemas.microsoft.com/office/excel/2006/main">
          <x14:cfRule type="dataBar" id="{70170FF4-13A8-4E17-998F-0CE908415AF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V41</xm:sqref>
        </x14:conditionalFormatting>
        <x14:conditionalFormatting xmlns:xm="http://schemas.microsoft.com/office/excel/2006/main">
          <x14:cfRule type="dataBar" id="{6C41058D-5D54-46C7-8A03-2239C149FFD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V44</xm:sqref>
        </x14:conditionalFormatting>
        <x14:conditionalFormatting xmlns:xm="http://schemas.microsoft.com/office/excel/2006/main">
          <x14:cfRule type="dataBar" id="{5691A763-4B86-4EB9-BE48-2B528DCA4CD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V45:V46</xm:sqref>
        </x14:conditionalFormatting>
        <x14:conditionalFormatting xmlns:xm="http://schemas.microsoft.com/office/excel/2006/main">
          <x14:cfRule type="dataBar" id="{95102E1D-1F7B-40A5-892B-4AE09ACF80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V52</xm:sqref>
        </x14:conditionalFormatting>
        <x14:conditionalFormatting xmlns:xm="http://schemas.microsoft.com/office/excel/2006/main">
          <x14:cfRule type="dataBar" id="{C76FD2CC-13BB-4D56-9DF2-5BF2408E60C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V53</xm:sqref>
        </x14:conditionalFormatting>
        <x14:conditionalFormatting xmlns:xm="http://schemas.microsoft.com/office/excel/2006/main">
          <x14:cfRule type="dataBar" id="{6A1B9C57-E9D8-4D9E-BF45-53FBA7AC36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V54</xm:sqref>
        </x14:conditionalFormatting>
        <x14:conditionalFormatting xmlns:xm="http://schemas.microsoft.com/office/excel/2006/main">
          <x14:cfRule type="dataBar" id="{63EC4009-6650-42EA-B4E7-AD7317C2183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V55</xm:sqref>
        </x14:conditionalFormatting>
        <x14:conditionalFormatting xmlns:xm="http://schemas.microsoft.com/office/excel/2006/main">
          <x14:cfRule type="dataBar" id="{4D83EB27-7FCD-4A92-A7D3-391F03BFFE0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V56</xm:sqref>
        </x14:conditionalFormatting>
        <x14:conditionalFormatting xmlns:xm="http://schemas.microsoft.com/office/excel/2006/main">
          <x14:cfRule type="dataBar" id="{383E748C-6FFE-416B-8459-928D21EE3C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V61</xm:sqref>
        </x14:conditionalFormatting>
        <x14:conditionalFormatting xmlns:xm="http://schemas.microsoft.com/office/excel/2006/main">
          <x14:cfRule type="dataBar" id="{77D86DA6-DE39-4326-9934-886E01E89CD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V63</xm:sqref>
        </x14:conditionalFormatting>
        <x14:conditionalFormatting xmlns:xm="http://schemas.microsoft.com/office/excel/2006/main">
          <x14:cfRule type="dataBar" id="{B2628541-068C-4B75-A2E6-3711C72AE7C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V66</xm:sqref>
        </x14:conditionalFormatting>
        <x14:conditionalFormatting xmlns:xm="http://schemas.microsoft.com/office/excel/2006/main">
          <x14:cfRule type="dataBar" id="{8C2658F8-4F15-4849-B858-5084B8E62D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V68</xm:sqref>
        </x14:conditionalFormatting>
        <x14:conditionalFormatting xmlns:xm="http://schemas.microsoft.com/office/excel/2006/main">
          <x14:cfRule type="dataBar" id="{D66E85AC-2D07-45C0-89A0-DB5C83615C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V69</xm:sqref>
        </x14:conditionalFormatting>
        <x14:conditionalFormatting xmlns:xm="http://schemas.microsoft.com/office/excel/2006/main">
          <x14:cfRule type="dataBar" id="{158D5CBE-9C84-40C2-8818-3846B4F527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V70</xm:sqref>
        </x14:conditionalFormatting>
        <x14:conditionalFormatting xmlns:xm="http://schemas.microsoft.com/office/excel/2006/main">
          <x14:cfRule type="dataBar" id="{DEEF2CAF-F297-4855-89E6-519C2FD2D8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V71</xm:sqref>
        </x14:conditionalFormatting>
        <x14:conditionalFormatting xmlns:xm="http://schemas.microsoft.com/office/excel/2006/main">
          <x14:cfRule type="dataBar" id="{DF5FD55B-6AAE-4A4B-93BE-22D11B5B5B0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V73</xm:sqref>
        </x14:conditionalFormatting>
        <x14:conditionalFormatting xmlns:xm="http://schemas.microsoft.com/office/excel/2006/main">
          <x14:cfRule type="dataBar" id="{F5B6F937-8276-4F02-A52F-1596F7ADF1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V74</xm:sqref>
        </x14:conditionalFormatting>
        <x14:conditionalFormatting xmlns:xm="http://schemas.microsoft.com/office/excel/2006/main">
          <x14:cfRule type="dataBar" id="{AA742FEA-64ED-4BC7-A924-0C842423C0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V83</xm:sqref>
        </x14:conditionalFormatting>
        <x14:conditionalFormatting xmlns:xm="http://schemas.microsoft.com/office/excel/2006/main">
          <x14:cfRule type="dataBar" id="{BD493209-A2F6-4DF3-A43E-0AD98234258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V84</xm:sqref>
        </x14:conditionalFormatting>
        <x14:conditionalFormatting xmlns:xm="http://schemas.microsoft.com/office/excel/2006/main">
          <x14:cfRule type="dataBar" id="{BB788542-A5E5-4B04-BD90-6DAA5814EC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V85:V86 V9 V47:V51 V30:V33 V35:V40 V42:V43 V57:V60 V62 V64:V65 V67 V72 V75:V82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858A-307E-4ED4-9D94-E9682EA17FAB}">
  <sheetPr>
    <tabColor rgb="FFFFC000"/>
  </sheetPr>
  <dimension ref="A1:M18"/>
  <sheetViews>
    <sheetView workbookViewId="0">
      <selection activeCell="F5" sqref="F5"/>
    </sheetView>
  </sheetViews>
  <sheetFormatPr baseColWidth="10" defaultColWidth="10" defaultRowHeight="14.5" x14ac:dyDescent="0.35"/>
  <cols>
    <col min="1" max="1" width="32" customWidth="1"/>
    <col min="2" max="2" width="15.81640625" customWidth="1"/>
    <col min="3" max="3" width="13.54296875" customWidth="1"/>
    <col min="4" max="4" width="13.54296875" style="1" customWidth="1"/>
    <col min="5" max="5" width="12.453125" style="1" customWidth="1"/>
    <col min="6" max="6" width="13.1796875" style="1" customWidth="1"/>
    <col min="7" max="7" width="14.1796875" style="1" customWidth="1"/>
    <col min="8" max="8" width="11.54296875" style="1" customWidth="1"/>
    <col min="9" max="9" width="21.54296875" customWidth="1"/>
    <col min="10" max="10" width="18" customWidth="1"/>
  </cols>
  <sheetData>
    <row r="1" spans="1:13" ht="17" x14ac:dyDescent="0.35">
      <c r="A1" s="183" t="s">
        <v>137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3" ht="38.25" customHeight="1" x14ac:dyDescent="0.35">
      <c r="A2" s="184" t="s">
        <v>77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3" ht="35.15" customHeight="1" x14ac:dyDescent="0.35">
      <c r="A3" s="185" t="s">
        <v>8</v>
      </c>
      <c r="B3" s="186" t="s">
        <v>9</v>
      </c>
      <c r="C3" s="186"/>
      <c r="D3" s="186" t="s">
        <v>78</v>
      </c>
      <c r="E3" s="186"/>
      <c r="F3" s="186"/>
      <c r="G3" s="186"/>
      <c r="H3" s="187" t="s">
        <v>26</v>
      </c>
      <c r="I3" s="188"/>
      <c r="J3" s="186" t="s">
        <v>10</v>
      </c>
    </row>
    <row r="4" spans="1:13" ht="29.25" customHeight="1" x14ac:dyDescent="0.35">
      <c r="A4" s="185"/>
      <c r="B4" s="3" t="s">
        <v>4</v>
      </c>
      <c r="C4" s="3" t="s">
        <v>80</v>
      </c>
      <c r="D4" s="3" t="s">
        <v>3</v>
      </c>
      <c r="E4" s="3" t="s">
        <v>19</v>
      </c>
      <c r="F4" s="3" t="s">
        <v>1</v>
      </c>
      <c r="G4" s="3" t="s">
        <v>20</v>
      </c>
      <c r="H4" s="3" t="s">
        <v>66</v>
      </c>
      <c r="I4" s="3" t="s">
        <v>0</v>
      </c>
      <c r="J4" s="186"/>
    </row>
    <row r="5" spans="1:13" ht="23.25" customHeight="1" x14ac:dyDescent="0.35">
      <c r="A5" s="4" t="s">
        <v>11</v>
      </c>
      <c r="B5" s="5">
        <v>7</v>
      </c>
      <c r="C5" s="5">
        <v>1</v>
      </c>
      <c r="D5" s="5">
        <f>13+1</f>
        <v>14</v>
      </c>
      <c r="E5" s="5">
        <v>0</v>
      </c>
      <c r="F5" s="5">
        <f>34-1-2-1</f>
        <v>30</v>
      </c>
      <c r="G5" s="5">
        <v>8</v>
      </c>
      <c r="H5" s="5">
        <v>0</v>
      </c>
      <c r="I5" s="5">
        <f>12+1</f>
        <v>13</v>
      </c>
      <c r="J5" s="5">
        <f>+B5+C5+D5+E5+F5+G5+H5+I5</f>
        <v>73</v>
      </c>
      <c r="K5" s="2"/>
      <c r="L5" s="2"/>
      <c r="M5" s="2"/>
    </row>
    <row r="6" spans="1:13" ht="27" customHeight="1" x14ac:dyDescent="0.35">
      <c r="A6" s="4" t="s">
        <v>12</v>
      </c>
      <c r="B6" s="176">
        <f>B5+C5</f>
        <v>8</v>
      </c>
      <c r="C6" s="176"/>
      <c r="D6" s="177">
        <f>+D5+E5+F5+G5</f>
        <v>52</v>
      </c>
      <c r="E6" s="178"/>
      <c r="F6" s="178"/>
      <c r="G6" s="179"/>
      <c r="H6" s="177">
        <f>I5+H5</f>
        <v>13</v>
      </c>
      <c r="I6" s="179"/>
      <c r="J6" s="5">
        <f>SUM(B6:I6)</f>
        <v>73</v>
      </c>
    </row>
    <row r="7" spans="1:13" ht="32.25" customHeight="1" x14ac:dyDescent="0.35">
      <c r="A7" s="4" t="s">
        <v>13</v>
      </c>
      <c r="B7" s="6">
        <f t="shared" ref="B7:J7" si="0">B5/$J$6</f>
        <v>9.5890410958904104E-2</v>
      </c>
      <c r="C7" s="6">
        <f t="shared" si="0"/>
        <v>1.3698630136986301E-2</v>
      </c>
      <c r="D7" s="6">
        <f t="shared" si="0"/>
        <v>0.19178082191780821</v>
      </c>
      <c r="E7" s="6">
        <f t="shared" si="0"/>
        <v>0</v>
      </c>
      <c r="F7" s="6">
        <f t="shared" si="0"/>
        <v>0.41095890410958902</v>
      </c>
      <c r="G7" s="6">
        <f t="shared" si="0"/>
        <v>0.1095890410958904</v>
      </c>
      <c r="H7" s="6">
        <f t="shared" si="0"/>
        <v>0</v>
      </c>
      <c r="I7" s="6">
        <f t="shared" si="0"/>
        <v>0.17808219178082191</v>
      </c>
      <c r="J7" s="6">
        <f t="shared" si="0"/>
        <v>1</v>
      </c>
      <c r="K7" s="7"/>
    </row>
    <row r="8" spans="1:13" ht="33" customHeight="1" x14ac:dyDescent="0.35">
      <c r="A8" s="4" t="s">
        <v>14</v>
      </c>
      <c r="B8" s="180">
        <f>+(B6+D6)/J6</f>
        <v>0.82191780821917804</v>
      </c>
      <c r="C8" s="182"/>
      <c r="D8" s="182"/>
      <c r="E8" s="182"/>
      <c r="F8" s="182"/>
      <c r="G8" s="181"/>
      <c r="H8" s="180">
        <f>H6/J6</f>
        <v>0.17808219178082191</v>
      </c>
      <c r="I8" s="181"/>
      <c r="J8" s="21">
        <f>B8+H8</f>
        <v>1</v>
      </c>
      <c r="K8" s="19"/>
    </row>
    <row r="9" spans="1:13" ht="42" customHeight="1" x14ac:dyDescent="0.35">
      <c r="A9" s="17" t="s">
        <v>29</v>
      </c>
      <c r="B9" s="170" t="s">
        <v>27</v>
      </c>
      <c r="C9" s="171"/>
      <c r="D9" s="171"/>
      <c r="E9" s="171"/>
      <c r="F9" s="171"/>
      <c r="G9" s="172"/>
      <c r="H9" s="170" t="s">
        <v>28</v>
      </c>
      <c r="I9" s="172"/>
      <c r="J9" s="13"/>
    </row>
    <row r="10" spans="1:13" ht="33.75" customHeight="1" x14ac:dyDescent="0.35">
      <c r="A10" s="25" t="s">
        <v>15</v>
      </c>
      <c r="B10" s="173" t="s">
        <v>32</v>
      </c>
      <c r="C10" s="173"/>
      <c r="D10" s="173"/>
      <c r="E10" s="173"/>
      <c r="F10" s="173"/>
      <c r="G10" s="173"/>
      <c r="H10" s="174" t="s">
        <v>81</v>
      </c>
      <c r="I10" s="175"/>
      <c r="J10" s="18"/>
    </row>
    <row r="11" spans="1:13" x14ac:dyDescent="0.35">
      <c r="A11" s="14" t="s">
        <v>24</v>
      </c>
    </row>
    <row r="12" spans="1:13" x14ac:dyDescent="0.35">
      <c r="A12" t="s">
        <v>5</v>
      </c>
    </row>
    <row r="13" spans="1:13" x14ac:dyDescent="0.35">
      <c r="A13" t="s">
        <v>22</v>
      </c>
      <c r="L13">
        <f>30/35</f>
        <v>0.8571428571428571</v>
      </c>
    </row>
    <row r="14" spans="1:13" x14ac:dyDescent="0.35">
      <c r="A14" t="s">
        <v>6</v>
      </c>
    </row>
    <row r="15" spans="1:13" x14ac:dyDescent="0.35">
      <c r="A15" t="s">
        <v>25</v>
      </c>
    </row>
    <row r="16" spans="1:13" x14ac:dyDescent="0.35">
      <c r="A16" t="s">
        <v>7</v>
      </c>
    </row>
    <row r="17" spans="1:1" x14ac:dyDescent="0.35">
      <c r="A17" t="s">
        <v>21</v>
      </c>
    </row>
    <row r="18" spans="1:1" x14ac:dyDescent="0.35">
      <c r="A18" t="s">
        <v>23</v>
      </c>
    </row>
  </sheetData>
  <mergeCells count="16">
    <mergeCell ref="A1:J1"/>
    <mergeCell ref="A2:J2"/>
    <mergeCell ref="A3:A4"/>
    <mergeCell ref="B3:C3"/>
    <mergeCell ref="D3:G3"/>
    <mergeCell ref="H3:I3"/>
    <mergeCell ref="J3:J4"/>
    <mergeCell ref="B9:G9"/>
    <mergeCell ref="B10:G10"/>
    <mergeCell ref="H10:I10"/>
    <mergeCell ref="H9:I9"/>
    <mergeCell ref="B6:C6"/>
    <mergeCell ref="D6:G6"/>
    <mergeCell ref="H6:I6"/>
    <mergeCell ref="H8:I8"/>
    <mergeCell ref="B8:G8"/>
  </mergeCells>
  <printOptions horizontalCentered="1"/>
  <pageMargins left="0.31496062992125984" right="0.1968503937007874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0E9C-81C6-408A-BD7C-B2CED8DA72C7}">
  <sheetPr>
    <tabColor rgb="FF0070C0"/>
  </sheetPr>
  <dimension ref="A1:M17"/>
  <sheetViews>
    <sheetView zoomScale="90" zoomScaleNormal="90" workbookViewId="0">
      <selection activeCell="D6" sqref="D6:G6"/>
    </sheetView>
  </sheetViews>
  <sheetFormatPr baseColWidth="10" defaultColWidth="10" defaultRowHeight="14.5" x14ac:dyDescent="0.35"/>
  <cols>
    <col min="1" max="1" width="33.7265625" customWidth="1"/>
    <col min="2" max="2" width="15.453125" customWidth="1"/>
    <col min="3" max="3" width="15.7265625" customWidth="1"/>
    <col min="4" max="4" width="14.54296875" customWidth="1"/>
    <col min="5" max="5" width="14.7265625" customWidth="1"/>
    <col min="6" max="6" width="13.81640625" customWidth="1"/>
    <col min="7" max="8" width="15.54296875" customWidth="1"/>
    <col min="9" max="9" width="24.54296875" customWidth="1"/>
    <col min="10" max="10" width="16" customWidth="1"/>
    <col min="13" max="13" width="13.7265625" customWidth="1"/>
  </cols>
  <sheetData>
    <row r="1" spans="1:13" s="1" customFormat="1" ht="15.5" x14ac:dyDescent="0.35">
      <c r="A1" s="196" t="s">
        <v>136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3" ht="28.5" customHeight="1" x14ac:dyDescent="0.35">
      <c r="A2" s="190" t="s">
        <v>77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3" ht="27" customHeight="1" x14ac:dyDescent="0.35">
      <c r="A3" s="197" t="s">
        <v>8</v>
      </c>
      <c r="B3" s="190" t="s">
        <v>9</v>
      </c>
      <c r="C3" s="190"/>
      <c r="D3" s="190" t="s">
        <v>79</v>
      </c>
      <c r="E3" s="190"/>
      <c r="F3" s="190"/>
      <c r="G3" s="190"/>
      <c r="H3" s="174" t="s">
        <v>26</v>
      </c>
      <c r="I3" s="175"/>
      <c r="J3" s="198" t="s">
        <v>10</v>
      </c>
    </row>
    <row r="4" spans="1:13" ht="27.75" customHeight="1" x14ac:dyDescent="0.35">
      <c r="A4" s="197"/>
      <c r="B4" s="3" t="s">
        <v>4</v>
      </c>
      <c r="C4" s="3" t="s">
        <v>2</v>
      </c>
      <c r="D4" s="3" t="s">
        <v>3</v>
      </c>
      <c r="E4" s="3" t="s">
        <v>19</v>
      </c>
      <c r="F4" s="3" t="s">
        <v>1</v>
      </c>
      <c r="G4" s="3" t="s">
        <v>20</v>
      </c>
      <c r="H4" s="3" t="s">
        <v>66</v>
      </c>
      <c r="I4" s="3" t="s">
        <v>0</v>
      </c>
      <c r="J4" s="198"/>
    </row>
    <row r="5" spans="1:13" ht="30" customHeight="1" x14ac:dyDescent="0.35">
      <c r="A5" s="8" t="s">
        <v>11</v>
      </c>
      <c r="B5" s="15">
        <f>6089250000-118000000</f>
        <v>5971250000</v>
      </c>
      <c r="C5" s="9">
        <f>106200000+69089000-38640575-30448425</f>
        <v>106200000</v>
      </c>
      <c r="D5" s="16">
        <f>704696000-47200000+37760000</f>
        <v>695256000</v>
      </c>
      <c r="E5" s="16">
        <v>0</v>
      </c>
      <c r="F5" s="16">
        <f>437726900+47200000-1888000-37760000-17700000+1534000</f>
        <v>429112900</v>
      </c>
      <c r="G5" s="16">
        <v>88205000</v>
      </c>
      <c r="H5" s="53"/>
      <c r="I5" s="24">
        <f>1143527474-16380000+1888000</f>
        <v>1129035474</v>
      </c>
      <c r="J5" s="20"/>
      <c r="K5" s="19"/>
      <c r="M5" s="10"/>
    </row>
    <row r="6" spans="1:13" ht="30" customHeight="1" x14ac:dyDescent="0.35">
      <c r="A6" s="8" t="s">
        <v>12</v>
      </c>
      <c r="B6" s="189">
        <f>B5+C5</f>
        <v>6077450000</v>
      </c>
      <c r="C6" s="189"/>
      <c r="D6" s="189">
        <f>+D5+E5+F5+G5</f>
        <v>1212573900</v>
      </c>
      <c r="E6" s="189"/>
      <c r="F6" s="189"/>
      <c r="G6" s="189"/>
      <c r="H6" s="191">
        <f>I5+H5-43200000</f>
        <v>1085835474</v>
      </c>
      <c r="I6" s="192"/>
      <c r="J6" s="20">
        <f>+B6+D6+H6</f>
        <v>8375859374</v>
      </c>
    </row>
    <row r="7" spans="1:13" ht="33" customHeight="1" x14ac:dyDescent="0.35">
      <c r="A7" s="8" t="s">
        <v>13</v>
      </c>
      <c r="B7" s="11">
        <f t="shared" ref="B7:G7" si="0">B5/$J$6</f>
        <v>0.71291192143646898</v>
      </c>
      <c r="C7" s="11">
        <f t="shared" si="0"/>
        <v>1.2679295969278291E-2</v>
      </c>
      <c r="D7" s="11">
        <f t="shared" si="0"/>
        <v>8.3007124278875216E-2</v>
      </c>
      <c r="E7" s="11">
        <f t="shared" si="0"/>
        <v>0</v>
      </c>
      <c r="F7" s="11">
        <f t="shared" si="0"/>
        <v>5.1232104174532195E-2</v>
      </c>
      <c r="G7" s="11">
        <f t="shared" si="0"/>
        <v>1.0530859707817248E-2</v>
      </c>
      <c r="H7" s="193">
        <f>H6/$J$6</f>
        <v>0.12963869443302808</v>
      </c>
      <c r="I7" s="194"/>
      <c r="J7" s="11">
        <f t="shared" ref="J7" si="1">J5/$J$6</f>
        <v>0</v>
      </c>
    </row>
    <row r="8" spans="1:13" ht="30.75" customHeight="1" x14ac:dyDescent="0.35">
      <c r="A8" s="12" t="s">
        <v>14</v>
      </c>
      <c r="B8" s="193">
        <f>(B6+D6)/J6</f>
        <v>0.87036130556697189</v>
      </c>
      <c r="C8" s="195"/>
      <c r="D8" s="195"/>
      <c r="E8" s="195"/>
      <c r="F8" s="195"/>
      <c r="G8" s="194"/>
      <c r="H8" s="193">
        <f>H6/J6</f>
        <v>0.12963869443302808</v>
      </c>
      <c r="I8" s="194"/>
      <c r="J8" s="22">
        <v>1</v>
      </c>
      <c r="K8" s="19"/>
    </row>
    <row r="9" spans="1:13" ht="31.5" customHeight="1" x14ac:dyDescent="0.35">
      <c r="A9" s="8" t="s">
        <v>30</v>
      </c>
      <c r="B9" s="170" t="s">
        <v>27</v>
      </c>
      <c r="C9" s="171"/>
      <c r="D9" s="171"/>
      <c r="E9" s="171"/>
      <c r="F9" s="171"/>
      <c r="G9" s="172"/>
      <c r="H9" s="23"/>
      <c r="I9" s="170" t="s">
        <v>28</v>
      </c>
      <c r="J9" s="172"/>
    </row>
    <row r="10" spans="1:13" x14ac:dyDescent="0.35">
      <c r="A10" s="14" t="s">
        <v>24</v>
      </c>
    </row>
    <row r="11" spans="1:13" x14ac:dyDescent="0.35">
      <c r="A11" t="s">
        <v>5</v>
      </c>
      <c r="M11" t="s">
        <v>31</v>
      </c>
    </row>
    <row r="12" spans="1:13" x14ac:dyDescent="0.35">
      <c r="A12" t="s">
        <v>22</v>
      </c>
      <c r="G12" s="58"/>
    </row>
    <row r="13" spans="1:13" x14ac:dyDescent="0.35">
      <c r="A13" t="s">
        <v>6</v>
      </c>
      <c r="I13" s="58"/>
      <c r="J13" s="58"/>
    </row>
    <row r="14" spans="1:13" x14ac:dyDescent="0.35">
      <c r="A14" t="s">
        <v>25</v>
      </c>
    </row>
    <row r="15" spans="1:13" x14ac:dyDescent="0.35">
      <c r="A15" t="s">
        <v>7</v>
      </c>
    </row>
    <row r="16" spans="1:13" x14ac:dyDescent="0.35">
      <c r="A16" t="s">
        <v>21</v>
      </c>
    </row>
    <row r="17" spans="1:1" x14ac:dyDescent="0.35">
      <c r="A17" t="s">
        <v>23</v>
      </c>
    </row>
  </sheetData>
  <mergeCells count="15">
    <mergeCell ref="A1:J1"/>
    <mergeCell ref="A2:J2"/>
    <mergeCell ref="A3:A4"/>
    <mergeCell ref="H3:I3"/>
    <mergeCell ref="J3:J4"/>
    <mergeCell ref="B9:G9"/>
    <mergeCell ref="I9:J9"/>
    <mergeCell ref="H7:I7"/>
    <mergeCell ref="B8:G8"/>
    <mergeCell ref="H8:I8"/>
    <mergeCell ref="D6:G6"/>
    <mergeCell ref="B6:C6"/>
    <mergeCell ref="B3:C3"/>
    <mergeCell ref="D3:G3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PPM DECEMBRE 2026 (2)</vt:lpstr>
      <vt:lpstr>INDIC BNE GOUVERNACE NBR (2)</vt:lpstr>
      <vt:lpstr>INDIC BNE GOUVERN MONTANT (2)</vt:lpstr>
      <vt:lpstr>'PPM DECEMBRE 2026 (2)'!Impression_des_titres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MESS_dmp</dc:creator>
  <cp:lastModifiedBy>OUATTARA Oula Sidiki Ahmed</cp:lastModifiedBy>
  <cp:lastPrinted>2026-01-05T14:46:09Z</cp:lastPrinted>
  <dcterms:created xsi:type="dcterms:W3CDTF">2017-03-28T07:44:10Z</dcterms:created>
  <dcterms:modified xsi:type="dcterms:W3CDTF">2026-03-24T12:49:36Z</dcterms:modified>
</cp:coreProperties>
</file>